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orrisK\Desktop\"/>
    </mc:Choice>
  </mc:AlternateContent>
  <workbookProtection workbookAlgorithmName="SHA-512" workbookHashValue="UyMNDT+xPPJt2PzqwfJ6MX01C18CR0nkzHocYyPwOaf/x+hae6S3IYYaXNQZ8ZvmoDa/oj8ucvqs/IXNXlo3FQ==" workbookSaltValue="0Dc3xPTbBLdcqH5WfPrFJA==" workbookSpinCount="100000" lockStructure="1"/>
  <bookViews>
    <workbookView xWindow="-15" yWindow="0" windowWidth="24240" windowHeight="13740" tabRatio="500" firstSheet="1" activeTab="1"/>
  </bookViews>
  <sheets>
    <sheet name="Hidden Tab Guide" sheetId="18" state="hidden" r:id="rId1"/>
    <sheet name="Menu" sheetId="17" r:id="rId2"/>
    <sheet name="National Rates" sheetId="9" r:id="rId3"/>
    <sheet name="National Data" sheetId="1" state="hidden" r:id="rId4"/>
    <sheet name="National Rate Table" sheetId="2" state="hidden" r:id="rId5"/>
    <sheet name="DMRW Rate Table" sheetId="4" state="hidden" r:id="rId6"/>
    <sheet name="D, M, R &amp; W Rates" sheetId="10" r:id="rId7"/>
    <sheet name="DMRW Remit Calcs" sheetId="11" state="hidden" r:id="rId8"/>
    <sheet name="DMRW Data" sheetId="3" state="hidden" r:id="rId9"/>
    <sheet name="Shelby Rates" sheetId="12" r:id="rId10"/>
    <sheet name="Shelby Data" sheetId="5" state="hidden" r:id="rId11"/>
    <sheet name="Shelby Rate Table" sheetId="6" state="hidden" r:id="rId12"/>
    <sheet name="Knox &amp; Hamilton Rates" sheetId="14" r:id="rId13"/>
    <sheet name="Knox &amp; Hamilton Data" sheetId="7" state="hidden" r:id="rId14"/>
    <sheet name="Knox &amp; Hamilton Remit Calcs" sheetId="16" state="hidden" r:id="rId15"/>
    <sheet name="Knox &amp; Hamilton Rate Table" sheetId="8" state="hidden" r:id="rId16"/>
  </sheets>
  <definedNames>
    <definedName name="_xlnm.Print_Area" localSheetId="6">'D, M, R &amp; W Rates'!$A$1:$AA$48</definedName>
    <definedName name="_xlnm.Print_Area" localSheetId="12">'Knox &amp; Hamilton Rates'!$A$1:$AA$48</definedName>
    <definedName name="_xlnm.Print_Area" localSheetId="2">'National Rates'!$A$1:$AA$48</definedName>
    <definedName name="_xlnm.Print_Area" localSheetId="9">'Shelby Rates'!$A$1:$AA$48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4" i="7" l="1"/>
  <c r="D104" i="7"/>
  <c r="H104" i="7" s="1"/>
  <c r="H106" i="7" s="1"/>
  <c r="D73" i="5"/>
  <c r="H73" i="5"/>
  <c r="I73" i="5" s="1"/>
  <c r="H111" i="3"/>
  <c r="I111" i="3" s="1"/>
  <c r="D111" i="3"/>
  <c r="I106" i="7" l="1"/>
  <c r="J106" i="7" s="1"/>
  <c r="H108" i="7"/>
  <c r="F73" i="5"/>
  <c r="F75" i="5" s="1"/>
  <c r="F111" i="3"/>
  <c r="F113" i="3" s="1"/>
  <c r="D101" i="1"/>
  <c r="H101" i="1" s="1"/>
  <c r="H103" i="1" s="1"/>
  <c r="I108" i="7" l="1"/>
  <c r="J108" i="7" s="1"/>
  <c r="H110" i="7"/>
  <c r="F77" i="5"/>
  <c r="G75" i="5"/>
  <c r="H75" i="5" s="1"/>
  <c r="G113" i="3"/>
  <c r="H113" i="3" s="1"/>
  <c r="F115" i="3"/>
  <c r="I103" i="1"/>
  <c r="J103" i="1" s="1"/>
  <c r="H105" i="1"/>
  <c r="I101" i="1"/>
  <c r="J101" i="1" s="1"/>
  <c r="I110" i="7" l="1"/>
  <c r="J110" i="7" s="1"/>
  <c r="H112" i="7"/>
  <c r="F79" i="5"/>
  <c r="G79" i="5" s="1"/>
  <c r="G77" i="5"/>
  <c r="F117" i="3"/>
  <c r="G115" i="3"/>
  <c r="I105" i="1"/>
  <c r="J105" i="1" s="1"/>
  <c r="H107" i="1"/>
  <c r="D100" i="16"/>
  <c r="D100" i="11"/>
  <c r="I112" i="7" l="1"/>
  <c r="J112" i="7" s="1"/>
  <c r="H114" i="7"/>
  <c r="H79" i="5"/>
  <c r="I79" i="5" s="1"/>
  <c r="H77" i="5"/>
  <c r="I77" i="5" s="1"/>
  <c r="G80" i="5"/>
  <c r="I75" i="5"/>
  <c r="H115" i="3"/>
  <c r="I115" i="3" s="1"/>
  <c r="F119" i="3"/>
  <c r="G117" i="3"/>
  <c r="H117" i="3" s="1"/>
  <c r="I113" i="3"/>
  <c r="I107" i="1"/>
  <c r="J107" i="1" s="1"/>
  <c r="H109" i="1"/>
  <c r="H100" i="16"/>
  <c r="H100" i="11"/>
  <c r="D84" i="1"/>
  <c r="H84" i="1" s="1"/>
  <c r="D119" i="1"/>
  <c r="H119" i="1" s="1"/>
  <c r="J86" i="7"/>
  <c r="H91" i="3"/>
  <c r="I91" i="3" s="1"/>
  <c r="D91" i="3"/>
  <c r="F91" i="3" s="1"/>
  <c r="F93" i="3" s="1"/>
  <c r="D132" i="3"/>
  <c r="F132" i="3" s="1"/>
  <c r="F134" i="3" s="1"/>
  <c r="H62" i="5"/>
  <c r="I62" i="5" s="1"/>
  <c r="D62" i="5"/>
  <c r="D86" i="7"/>
  <c r="H86" i="7" s="1"/>
  <c r="H88" i="7" s="1"/>
  <c r="D124" i="7"/>
  <c r="K137" i="7" s="1"/>
  <c r="H116" i="7" l="1"/>
  <c r="I116" i="7" s="1"/>
  <c r="J116" i="7" s="1"/>
  <c r="J117" i="7" s="1"/>
  <c r="D109" i="7" s="1"/>
  <c r="I114" i="7"/>
  <c r="J114" i="7" s="1"/>
  <c r="H80" i="5"/>
  <c r="D77" i="5" s="1"/>
  <c r="G119" i="3"/>
  <c r="F121" i="3"/>
  <c r="I109" i="1"/>
  <c r="J109" i="1" s="1"/>
  <c r="H111" i="1"/>
  <c r="I100" i="16"/>
  <c r="J100" i="16" s="1"/>
  <c r="H102" i="16"/>
  <c r="H102" i="11"/>
  <c r="I100" i="11"/>
  <c r="J100" i="11" s="1"/>
  <c r="H121" i="1"/>
  <c r="I119" i="1"/>
  <c r="J119" i="1"/>
  <c r="K119" i="1" s="1"/>
  <c r="G93" i="3"/>
  <c r="H93" i="3" s="1"/>
  <c r="F95" i="3"/>
  <c r="F136" i="3"/>
  <c r="G134" i="3"/>
  <c r="H134" i="3" s="1"/>
  <c r="I134" i="3" s="1"/>
  <c r="H132" i="3"/>
  <c r="I132" i="3" s="1"/>
  <c r="F62" i="5"/>
  <c r="F64" i="5" s="1"/>
  <c r="J137" i="7"/>
  <c r="H124" i="7"/>
  <c r="J124" i="7" s="1"/>
  <c r="K124" i="7" s="1"/>
  <c r="I88" i="7"/>
  <c r="J88" i="7" s="1"/>
  <c r="H90" i="7"/>
  <c r="D45" i="1"/>
  <c r="D111" i="7" l="1"/>
  <c r="J42" i="14" s="1"/>
  <c r="I42" i="14"/>
  <c r="I117" i="7"/>
  <c r="D79" i="5"/>
  <c r="J42" i="12" s="1"/>
  <c r="I42" i="12"/>
  <c r="H119" i="3"/>
  <c r="I119" i="3" s="1"/>
  <c r="I117" i="3"/>
  <c r="G121" i="3"/>
  <c r="F123" i="3"/>
  <c r="I111" i="1"/>
  <c r="J111" i="1" s="1"/>
  <c r="H113" i="1"/>
  <c r="I113" i="1" s="1"/>
  <c r="I102" i="16"/>
  <c r="J102" i="16" s="1"/>
  <c r="H104" i="16"/>
  <c r="H104" i="11"/>
  <c r="I102" i="11"/>
  <c r="J102" i="11" s="1"/>
  <c r="I84" i="1"/>
  <c r="J84" i="1" s="1"/>
  <c r="H86" i="1"/>
  <c r="H123" i="1"/>
  <c r="I121" i="1"/>
  <c r="J121" i="1" s="1"/>
  <c r="K121" i="1" s="1"/>
  <c r="F138" i="3"/>
  <c r="G136" i="3"/>
  <c r="H136" i="3" s="1"/>
  <c r="I136" i="3" s="1"/>
  <c r="F97" i="3"/>
  <c r="G95" i="3"/>
  <c r="F66" i="5"/>
  <c r="G64" i="5"/>
  <c r="H64" i="5" s="1"/>
  <c r="H126" i="7"/>
  <c r="I126" i="7" s="1"/>
  <c r="I90" i="7"/>
  <c r="J90" i="7" s="1"/>
  <c r="H92" i="7"/>
  <c r="D82" i="16"/>
  <c r="D82" i="11"/>
  <c r="D66" i="7"/>
  <c r="D51" i="5"/>
  <c r="D71" i="3"/>
  <c r="D66" i="1"/>
  <c r="H121" i="3" l="1"/>
  <c r="I121" i="3" s="1"/>
  <c r="G123" i="3"/>
  <c r="F125" i="3"/>
  <c r="G125" i="3" s="1"/>
  <c r="J113" i="1"/>
  <c r="J114" i="1" s="1"/>
  <c r="I114" i="1"/>
  <c r="I104" i="16"/>
  <c r="J104" i="16" s="1"/>
  <c r="H106" i="16"/>
  <c r="I104" i="11"/>
  <c r="J104" i="11" s="1"/>
  <c r="H106" i="11"/>
  <c r="H88" i="1"/>
  <c r="I86" i="1"/>
  <c r="J86" i="1" s="1"/>
  <c r="I123" i="1"/>
  <c r="J123" i="1" s="1"/>
  <c r="K123" i="1" s="1"/>
  <c r="H125" i="1"/>
  <c r="H128" i="7"/>
  <c r="I128" i="7" s="1"/>
  <c r="J128" i="7" s="1"/>
  <c r="K128" i="7" s="1"/>
  <c r="H95" i="3"/>
  <c r="I95" i="3" s="1"/>
  <c r="I93" i="3"/>
  <c r="F99" i="3"/>
  <c r="G97" i="3"/>
  <c r="H97" i="3" s="1"/>
  <c r="F140" i="3"/>
  <c r="G138" i="3"/>
  <c r="H138" i="3" s="1"/>
  <c r="I138" i="3" s="1"/>
  <c r="F68" i="5"/>
  <c r="G68" i="5" s="1"/>
  <c r="G66" i="5"/>
  <c r="I92" i="7"/>
  <c r="J92" i="7" s="1"/>
  <c r="H94" i="7"/>
  <c r="J126" i="7"/>
  <c r="K126" i="7" s="1"/>
  <c r="D99" i="5"/>
  <c r="F99" i="5" s="1"/>
  <c r="F101" i="5" s="1"/>
  <c r="F103" i="5" s="1"/>
  <c r="D9" i="5"/>
  <c r="F9" i="5" s="1"/>
  <c r="E20" i="5"/>
  <c r="L28" i="5" s="1"/>
  <c r="D36" i="5"/>
  <c r="F36" i="5" s="1"/>
  <c r="D87" i="5"/>
  <c r="F87" i="5" s="1"/>
  <c r="F89" i="5" s="1"/>
  <c r="F91" i="5" s="1"/>
  <c r="G91" i="5" s="1"/>
  <c r="H91" i="5" s="1"/>
  <c r="I91" i="5" s="1"/>
  <c r="D9" i="1"/>
  <c r="H9" i="1" s="1"/>
  <c r="H45" i="1"/>
  <c r="E26" i="1"/>
  <c r="L34" i="1" s="1"/>
  <c r="D139" i="1"/>
  <c r="D54" i="11"/>
  <c r="H54" i="11" s="1"/>
  <c r="D122" i="11"/>
  <c r="H122" i="11" s="1"/>
  <c r="I122" i="11" s="1"/>
  <c r="D54" i="16"/>
  <c r="H54" i="16" s="1"/>
  <c r="D119" i="16"/>
  <c r="H119" i="16" s="1"/>
  <c r="D138" i="16"/>
  <c r="H82" i="16"/>
  <c r="D142" i="11"/>
  <c r="H82" i="11"/>
  <c r="D18" i="16"/>
  <c r="H18" i="16" s="1"/>
  <c r="D18" i="11"/>
  <c r="H18" i="11" s="1"/>
  <c r="E35" i="11"/>
  <c r="L43" i="11" s="1"/>
  <c r="D9" i="3"/>
  <c r="F9" i="3" s="1"/>
  <c r="E28" i="3"/>
  <c r="L35" i="3" s="1"/>
  <c r="E35" i="16"/>
  <c r="D9" i="7"/>
  <c r="F9" i="7" s="1"/>
  <c r="E26" i="7"/>
  <c r="L37" i="7" s="1"/>
  <c r="D48" i="3"/>
  <c r="F48" i="3" s="1"/>
  <c r="H48" i="3" s="1"/>
  <c r="I48" i="3" s="1"/>
  <c r="D45" i="7"/>
  <c r="D143" i="7"/>
  <c r="H143" i="7" s="1"/>
  <c r="H145" i="7" s="1"/>
  <c r="J66" i="7"/>
  <c r="J143" i="7"/>
  <c r="F71" i="3"/>
  <c r="F73" i="3" s="1"/>
  <c r="G73" i="3" s="1"/>
  <c r="H73" i="3" s="1"/>
  <c r="H71" i="3"/>
  <c r="I71" i="3" s="1"/>
  <c r="D154" i="3"/>
  <c r="H154" i="3"/>
  <c r="H51" i="5"/>
  <c r="I51" i="5" s="1"/>
  <c r="H125" i="3" l="1"/>
  <c r="I125" i="3" s="1"/>
  <c r="H123" i="3"/>
  <c r="I123" i="3" s="1"/>
  <c r="G126" i="3"/>
  <c r="D106" i="1"/>
  <c r="D108" i="1"/>
  <c r="H130" i="7"/>
  <c r="H132" i="7" s="1"/>
  <c r="I106" i="16"/>
  <c r="J106" i="16" s="1"/>
  <c r="H108" i="16"/>
  <c r="I106" i="11"/>
  <c r="J106" i="11" s="1"/>
  <c r="H108" i="11"/>
  <c r="H90" i="1"/>
  <c r="I88" i="1"/>
  <c r="J88" i="1" s="1"/>
  <c r="I125" i="1"/>
  <c r="J125" i="1" s="1"/>
  <c r="K125" i="1" s="1"/>
  <c r="H127" i="1"/>
  <c r="F142" i="3"/>
  <c r="G140" i="3"/>
  <c r="H140" i="3" s="1"/>
  <c r="I140" i="3" s="1"/>
  <c r="G99" i="3"/>
  <c r="F101" i="3"/>
  <c r="H66" i="5"/>
  <c r="I66" i="5" s="1"/>
  <c r="H68" i="5"/>
  <c r="I64" i="5"/>
  <c r="G69" i="5"/>
  <c r="H99" i="5"/>
  <c r="I94" i="7"/>
  <c r="J94" i="7" s="1"/>
  <c r="H96" i="7"/>
  <c r="I130" i="7"/>
  <c r="H56" i="11"/>
  <c r="H58" i="11" s="1"/>
  <c r="H60" i="11" s="1"/>
  <c r="I60" i="11" s="1"/>
  <c r="J60" i="11" s="1"/>
  <c r="K60" i="11" s="1"/>
  <c r="G35" i="7"/>
  <c r="I35" i="7" s="1"/>
  <c r="J36" i="7" s="1"/>
  <c r="G32" i="7"/>
  <c r="G37" i="3"/>
  <c r="I37" i="3" s="1"/>
  <c r="J38" i="3" s="1"/>
  <c r="G34" i="3"/>
  <c r="I34" i="3" s="1"/>
  <c r="H138" i="16"/>
  <c r="H140" i="16" s="1"/>
  <c r="H142" i="16" s="1"/>
  <c r="H144" i="16" s="1"/>
  <c r="H142" i="11"/>
  <c r="H144" i="11" s="1"/>
  <c r="N48" i="11"/>
  <c r="G101" i="5"/>
  <c r="H101" i="5" s="1"/>
  <c r="I18" i="16"/>
  <c r="G44" i="16"/>
  <c r="I44" i="16" s="1"/>
  <c r="J45" i="16" s="1"/>
  <c r="H20" i="16"/>
  <c r="H22" i="16" s="1"/>
  <c r="H9" i="7"/>
  <c r="G34" i="7"/>
  <c r="I34" i="7" s="1"/>
  <c r="J35" i="7" s="1"/>
  <c r="F93" i="5"/>
  <c r="G93" i="5" s="1"/>
  <c r="H93" i="5" s="1"/>
  <c r="I93" i="5" s="1"/>
  <c r="N42" i="3"/>
  <c r="H66" i="7"/>
  <c r="H68" i="7" s="1"/>
  <c r="H70" i="7" s="1"/>
  <c r="G36" i="7"/>
  <c r="I36" i="7" s="1"/>
  <c r="J37" i="7" s="1"/>
  <c r="G40" i="16"/>
  <c r="I40" i="16" s="1"/>
  <c r="H147" i="7"/>
  <c r="I145" i="7"/>
  <c r="J145" i="7" s="1"/>
  <c r="I119" i="16"/>
  <c r="J119" i="16"/>
  <c r="K119" i="16" s="1"/>
  <c r="H121" i="16"/>
  <c r="I121" i="16" s="1"/>
  <c r="J121" i="16" s="1"/>
  <c r="K121" i="16" s="1"/>
  <c r="I82" i="16"/>
  <c r="H84" i="16"/>
  <c r="L33" i="7"/>
  <c r="N39" i="7"/>
  <c r="L35" i="7"/>
  <c r="O39" i="7"/>
  <c r="I54" i="16"/>
  <c r="J54" i="16" s="1"/>
  <c r="H56" i="16"/>
  <c r="F11" i="7"/>
  <c r="G11" i="7" s="1"/>
  <c r="H45" i="7"/>
  <c r="G31" i="7"/>
  <c r="I31" i="7" s="1"/>
  <c r="J32" i="7" s="1"/>
  <c r="G45" i="16"/>
  <c r="I45" i="16" s="1"/>
  <c r="J46" i="16" s="1"/>
  <c r="G42" i="16"/>
  <c r="I42" i="16" s="1"/>
  <c r="J18" i="16"/>
  <c r="F29" i="7"/>
  <c r="G41" i="16"/>
  <c r="I41" i="16" s="1"/>
  <c r="G46" i="16"/>
  <c r="G43" i="16"/>
  <c r="I43" i="16" s="1"/>
  <c r="J44" i="16" s="1"/>
  <c r="G89" i="5"/>
  <c r="H89" i="5" s="1"/>
  <c r="I89" i="5" s="1"/>
  <c r="F51" i="5"/>
  <c r="F53" i="5" s="1"/>
  <c r="F55" i="5" s="1"/>
  <c r="H87" i="5"/>
  <c r="O30" i="5"/>
  <c r="L26" i="5"/>
  <c r="N30" i="5"/>
  <c r="F38" i="5"/>
  <c r="H36" i="5"/>
  <c r="G25" i="5"/>
  <c r="I25" i="5" s="1"/>
  <c r="J26" i="5" s="1"/>
  <c r="H9" i="5"/>
  <c r="G41" i="11"/>
  <c r="I41" i="11" s="1"/>
  <c r="G44" i="11"/>
  <c r="I44" i="11" s="1"/>
  <c r="J45" i="11" s="1"/>
  <c r="F11" i="3"/>
  <c r="F13" i="3" s="1"/>
  <c r="F15" i="3" s="1"/>
  <c r="G15" i="3" s="1"/>
  <c r="H15" i="3" s="1"/>
  <c r="H9" i="3"/>
  <c r="F154" i="3"/>
  <c r="F156" i="3" s="1"/>
  <c r="G156" i="3" s="1"/>
  <c r="H124" i="11"/>
  <c r="I82" i="11"/>
  <c r="J82" i="11" s="1"/>
  <c r="H84" i="11"/>
  <c r="I84" i="11" s="1"/>
  <c r="J84" i="11" s="1"/>
  <c r="F75" i="3"/>
  <c r="G75" i="3" s="1"/>
  <c r="I73" i="3"/>
  <c r="L39" i="3"/>
  <c r="O42" i="3"/>
  <c r="L34" i="3"/>
  <c r="L45" i="11"/>
  <c r="L38" i="3"/>
  <c r="L37" i="3"/>
  <c r="L40" i="3"/>
  <c r="L36" i="3"/>
  <c r="L41" i="11"/>
  <c r="O48" i="11"/>
  <c r="H20" i="11"/>
  <c r="I20" i="11" s="1"/>
  <c r="J20" i="11" s="1"/>
  <c r="G38" i="3"/>
  <c r="I38" i="3" s="1"/>
  <c r="J39" i="3" s="1"/>
  <c r="G46" i="11"/>
  <c r="I46" i="11" s="1"/>
  <c r="F50" i="3"/>
  <c r="F52" i="3" s="1"/>
  <c r="G35" i="3"/>
  <c r="I35" i="3" s="1"/>
  <c r="G33" i="3"/>
  <c r="I33" i="3" s="1"/>
  <c r="J34" i="3" s="1"/>
  <c r="G45" i="11"/>
  <c r="I45" i="11" s="1"/>
  <c r="J46" i="11" s="1"/>
  <c r="G40" i="11"/>
  <c r="I40" i="11" s="1"/>
  <c r="F31" i="3"/>
  <c r="G36" i="3" s="1"/>
  <c r="I36" i="3" s="1"/>
  <c r="J37" i="3" s="1"/>
  <c r="K38" i="3" s="1"/>
  <c r="G39" i="3"/>
  <c r="I39" i="3" s="1"/>
  <c r="J40" i="3" s="1"/>
  <c r="H139" i="1"/>
  <c r="H141" i="1" s="1"/>
  <c r="I141" i="1" s="1"/>
  <c r="J141" i="1" s="1"/>
  <c r="L37" i="1"/>
  <c r="O39" i="1"/>
  <c r="L36" i="1"/>
  <c r="N39" i="1"/>
  <c r="F29" i="1"/>
  <c r="I45" i="1"/>
  <c r="J45" i="1" s="1"/>
  <c r="I54" i="11"/>
  <c r="J54" i="11" s="1"/>
  <c r="F38" i="16"/>
  <c r="L42" i="16"/>
  <c r="L44" i="16"/>
  <c r="L46" i="16"/>
  <c r="L43" i="16"/>
  <c r="L41" i="16"/>
  <c r="L45" i="16"/>
  <c r="O48" i="16"/>
  <c r="N48" i="16"/>
  <c r="I20" i="16"/>
  <c r="G33" i="1"/>
  <c r="G35" i="1"/>
  <c r="G36" i="1"/>
  <c r="G32" i="1"/>
  <c r="I9" i="1"/>
  <c r="J9" i="1" s="1"/>
  <c r="G37" i="1"/>
  <c r="H11" i="1"/>
  <c r="G31" i="1"/>
  <c r="G34" i="1"/>
  <c r="L36" i="7"/>
  <c r="L34" i="7"/>
  <c r="L32" i="7"/>
  <c r="G37" i="7"/>
  <c r="G33" i="7"/>
  <c r="F105" i="5"/>
  <c r="G105" i="5" s="1"/>
  <c r="H105" i="5" s="1"/>
  <c r="G103" i="5"/>
  <c r="L33" i="1"/>
  <c r="H47" i="1"/>
  <c r="I18" i="11"/>
  <c r="J18" i="11" s="1"/>
  <c r="G43" i="11"/>
  <c r="L35" i="1"/>
  <c r="L32" i="1"/>
  <c r="G40" i="3"/>
  <c r="G42" i="11"/>
  <c r="F38" i="11"/>
  <c r="L42" i="11"/>
  <c r="L44" i="11"/>
  <c r="L46" i="11"/>
  <c r="J82" i="16"/>
  <c r="J122" i="11"/>
  <c r="H66" i="1"/>
  <c r="F23" i="5"/>
  <c r="G27" i="5"/>
  <c r="G26" i="5"/>
  <c r="F11" i="5"/>
  <c r="G28" i="5"/>
  <c r="L27" i="5"/>
  <c r="H126" i="3" l="1"/>
  <c r="D116" i="3" s="1"/>
  <c r="J42" i="9"/>
  <c r="D110" i="1"/>
  <c r="I42" i="9"/>
  <c r="H69" i="5"/>
  <c r="D66" i="5" s="1"/>
  <c r="D68" i="5" s="1"/>
  <c r="V22" i="12" s="1"/>
  <c r="I108" i="16"/>
  <c r="J108" i="16" s="1"/>
  <c r="H110" i="16"/>
  <c r="J42" i="16"/>
  <c r="K43" i="16" s="1"/>
  <c r="K54" i="16"/>
  <c r="I108" i="11"/>
  <c r="J108" i="11" s="1"/>
  <c r="H110" i="11"/>
  <c r="I46" i="16"/>
  <c r="H92" i="1"/>
  <c r="I90" i="1"/>
  <c r="J90" i="1" s="1"/>
  <c r="I127" i="1"/>
  <c r="J127" i="1" s="1"/>
  <c r="K127" i="1" s="1"/>
  <c r="H129" i="1"/>
  <c r="H99" i="3"/>
  <c r="I99" i="3" s="1"/>
  <c r="I97" i="3"/>
  <c r="G101" i="3"/>
  <c r="H101" i="3" s="1"/>
  <c r="F103" i="3"/>
  <c r="F144" i="3"/>
  <c r="G144" i="3" s="1"/>
  <c r="H144" i="3" s="1"/>
  <c r="I144" i="3" s="1"/>
  <c r="G142" i="3"/>
  <c r="H142" i="3" s="1"/>
  <c r="I142" i="3" s="1"/>
  <c r="I68" i="5"/>
  <c r="H98" i="7"/>
  <c r="I98" i="7" s="1"/>
  <c r="J98" i="7" s="1"/>
  <c r="I96" i="7"/>
  <c r="J96" i="7" s="1"/>
  <c r="H134" i="7"/>
  <c r="I132" i="7"/>
  <c r="J132" i="7" s="1"/>
  <c r="K132" i="7" s="1"/>
  <c r="J130" i="7"/>
  <c r="K130" i="7" s="1"/>
  <c r="K37" i="7"/>
  <c r="J35" i="3"/>
  <c r="K36" i="3" s="1"/>
  <c r="I58" i="11"/>
  <c r="J58" i="11" s="1"/>
  <c r="K58" i="11" s="1"/>
  <c r="H62" i="11"/>
  <c r="I62" i="11" s="1"/>
  <c r="J62" i="11" s="1"/>
  <c r="K62" i="11" s="1"/>
  <c r="I56" i="11"/>
  <c r="J56" i="11" s="1"/>
  <c r="K56" i="11" s="1"/>
  <c r="K45" i="1"/>
  <c r="J41" i="16"/>
  <c r="M41" i="16" s="1"/>
  <c r="J41" i="11"/>
  <c r="K42" i="11" s="1"/>
  <c r="I138" i="16"/>
  <c r="J138" i="16" s="1"/>
  <c r="I142" i="16"/>
  <c r="J142" i="16" s="1"/>
  <c r="I142" i="11"/>
  <c r="J142" i="11" s="1"/>
  <c r="J43" i="16"/>
  <c r="K44" i="16" s="1"/>
  <c r="M44" i="16" s="1"/>
  <c r="J36" i="3"/>
  <c r="K37" i="3" s="1"/>
  <c r="M37" i="3" s="1"/>
  <c r="I140" i="16"/>
  <c r="J140" i="16" s="1"/>
  <c r="I68" i="7"/>
  <c r="J68" i="7" s="1"/>
  <c r="K33" i="7"/>
  <c r="H22" i="11"/>
  <c r="I22" i="11" s="1"/>
  <c r="J22" i="11" s="1"/>
  <c r="F13" i="7"/>
  <c r="G13" i="7" s="1"/>
  <c r="H13" i="7" s="1"/>
  <c r="K45" i="16"/>
  <c r="M45" i="16" s="1"/>
  <c r="G94" i="5"/>
  <c r="F17" i="3"/>
  <c r="F19" i="3" s="1"/>
  <c r="G13" i="3"/>
  <c r="H13" i="3" s="1"/>
  <c r="G11" i="3"/>
  <c r="H11" i="3" s="1"/>
  <c r="H86" i="11"/>
  <c r="I86" i="11" s="1"/>
  <c r="H149" i="7"/>
  <c r="I147" i="7"/>
  <c r="J147" i="7" s="1"/>
  <c r="H123" i="16"/>
  <c r="I123" i="16" s="1"/>
  <c r="I84" i="16"/>
  <c r="J84" i="16" s="1"/>
  <c r="H86" i="16"/>
  <c r="K46" i="16"/>
  <c r="H47" i="7"/>
  <c r="J45" i="7"/>
  <c r="I56" i="16"/>
  <c r="H58" i="16"/>
  <c r="K36" i="7"/>
  <c r="M36" i="7" s="1"/>
  <c r="G53" i="5"/>
  <c r="H53" i="5" s="1"/>
  <c r="I87" i="5"/>
  <c r="I94" i="5" s="1"/>
  <c r="I95" i="5" s="1"/>
  <c r="H94" i="5"/>
  <c r="H95" i="5" s="1"/>
  <c r="G55" i="5"/>
  <c r="H55" i="5" s="1"/>
  <c r="I55" i="5" s="1"/>
  <c r="F57" i="5"/>
  <c r="G57" i="5" s="1"/>
  <c r="H57" i="5" s="1"/>
  <c r="I57" i="5" s="1"/>
  <c r="K27" i="5"/>
  <c r="I36" i="5"/>
  <c r="F40" i="5"/>
  <c r="G38" i="5"/>
  <c r="F158" i="3"/>
  <c r="F160" i="3" s="1"/>
  <c r="H126" i="11"/>
  <c r="I124" i="11"/>
  <c r="J124" i="11" s="1"/>
  <c r="K124" i="11" s="1"/>
  <c r="H146" i="11"/>
  <c r="I144" i="11"/>
  <c r="J144" i="11" s="1"/>
  <c r="F77" i="3"/>
  <c r="F79" i="3" s="1"/>
  <c r="K40" i="3"/>
  <c r="K39" i="3"/>
  <c r="M39" i="3" s="1"/>
  <c r="G50" i="3"/>
  <c r="H50" i="3" s="1"/>
  <c r="K46" i="11"/>
  <c r="M46" i="11" s="1"/>
  <c r="I139" i="1"/>
  <c r="J139" i="1" s="1"/>
  <c r="H143" i="1"/>
  <c r="I143" i="1" s="1"/>
  <c r="J143" i="1" s="1"/>
  <c r="I26" i="5"/>
  <c r="I33" i="7"/>
  <c r="J34" i="7" s="1"/>
  <c r="K35" i="7" s="1"/>
  <c r="M35" i="7" s="1"/>
  <c r="J20" i="16"/>
  <c r="I70" i="7"/>
  <c r="J70" i="7" s="1"/>
  <c r="H72" i="7"/>
  <c r="K54" i="11"/>
  <c r="I43" i="11"/>
  <c r="J44" i="11" s="1"/>
  <c r="K45" i="11" s="1"/>
  <c r="M45" i="11" s="1"/>
  <c r="I34" i="1"/>
  <c r="H75" i="3"/>
  <c r="K122" i="11"/>
  <c r="I37" i="1"/>
  <c r="J42" i="11"/>
  <c r="K35" i="3"/>
  <c r="I27" i="5"/>
  <c r="J28" i="5" s="1"/>
  <c r="H103" i="5"/>
  <c r="G106" i="5"/>
  <c r="I37" i="7"/>
  <c r="I33" i="1"/>
  <c r="J34" i="1" s="1"/>
  <c r="K35" i="1" s="1"/>
  <c r="I31" i="1"/>
  <c r="J32" i="1" s="1"/>
  <c r="M38" i="3"/>
  <c r="H156" i="3"/>
  <c r="G52" i="3"/>
  <c r="H52" i="3" s="1"/>
  <c r="I52" i="3" s="1"/>
  <c r="F54" i="3"/>
  <c r="I35" i="1"/>
  <c r="J36" i="1" s="1"/>
  <c r="K37" i="1" s="1"/>
  <c r="I66" i="1"/>
  <c r="J66" i="1" s="1"/>
  <c r="H68" i="1"/>
  <c r="I40" i="3"/>
  <c r="I28" i="5"/>
  <c r="I32" i="1"/>
  <c r="J33" i="1" s="1"/>
  <c r="K34" i="1" s="1"/>
  <c r="F13" i="5"/>
  <c r="G11" i="5"/>
  <c r="I42" i="11"/>
  <c r="J43" i="11" s="1"/>
  <c r="K44" i="11" s="1"/>
  <c r="I47" i="1"/>
  <c r="H49" i="1"/>
  <c r="I32" i="7"/>
  <c r="J33" i="7" s="1"/>
  <c r="H13" i="1"/>
  <c r="I11" i="1"/>
  <c r="J11" i="1" s="1"/>
  <c r="I36" i="1"/>
  <c r="J37" i="1" s="1"/>
  <c r="M34" i="3"/>
  <c r="H24" i="16"/>
  <c r="I22" i="16"/>
  <c r="J22" i="16" s="1"/>
  <c r="H11" i="7"/>
  <c r="I144" i="16"/>
  <c r="J144" i="16" s="1"/>
  <c r="H146" i="16"/>
  <c r="D118" i="3" l="1"/>
  <c r="J42" i="10" s="1"/>
  <c r="I42" i="10"/>
  <c r="R22" i="12"/>
  <c r="H112" i="16"/>
  <c r="I112" i="16" s="1"/>
  <c r="J112" i="16" s="1"/>
  <c r="I110" i="16"/>
  <c r="J110" i="16" s="1"/>
  <c r="I110" i="11"/>
  <c r="J110" i="11" s="1"/>
  <c r="H112" i="11"/>
  <c r="I112" i="11" s="1"/>
  <c r="J112" i="11" s="1"/>
  <c r="M37" i="7"/>
  <c r="H64" i="11"/>
  <c r="H66" i="11" s="1"/>
  <c r="I66" i="11" s="1"/>
  <c r="J66" i="11" s="1"/>
  <c r="K66" i="11" s="1"/>
  <c r="H94" i="1"/>
  <c r="I92" i="1"/>
  <c r="J92" i="1" s="1"/>
  <c r="I129" i="1"/>
  <c r="H131" i="1"/>
  <c r="I131" i="1" s="1"/>
  <c r="J131" i="1" s="1"/>
  <c r="K131" i="1" s="1"/>
  <c r="G103" i="3"/>
  <c r="F105" i="3"/>
  <c r="G105" i="3" s="1"/>
  <c r="G17" i="3"/>
  <c r="H17" i="3" s="1"/>
  <c r="J99" i="7"/>
  <c r="I99" i="7"/>
  <c r="I134" i="7"/>
  <c r="J134" i="7" s="1"/>
  <c r="K134" i="7" s="1"/>
  <c r="H136" i="7"/>
  <c r="I136" i="7" s="1"/>
  <c r="J136" i="7" s="1"/>
  <c r="K136" i="7" s="1"/>
  <c r="M35" i="3"/>
  <c r="N46" i="16"/>
  <c r="O46" i="16" s="1"/>
  <c r="K42" i="16"/>
  <c r="N42" i="16" s="1"/>
  <c r="O42" i="16" s="1"/>
  <c r="M41" i="11"/>
  <c r="H24" i="11"/>
  <c r="I24" i="11" s="1"/>
  <c r="M36" i="3"/>
  <c r="N40" i="16"/>
  <c r="N41" i="16"/>
  <c r="O41" i="16" s="1"/>
  <c r="N45" i="16"/>
  <c r="O45" i="16" s="1"/>
  <c r="N43" i="16"/>
  <c r="O43" i="16" s="1"/>
  <c r="N33" i="3"/>
  <c r="N34" i="3"/>
  <c r="O34" i="3" s="1"/>
  <c r="N38" i="3"/>
  <c r="O38" i="3" s="1"/>
  <c r="K33" i="1"/>
  <c r="M33" i="1" s="1"/>
  <c r="F15" i="7"/>
  <c r="F17" i="7" s="1"/>
  <c r="N39" i="3"/>
  <c r="O39" i="3" s="1"/>
  <c r="H88" i="11"/>
  <c r="H90" i="11" s="1"/>
  <c r="M42" i="16"/>
  <c r="M43" i="16"/>
  <c r="N36" i="3"/>
  <c r="O36" i="3" s="1"/>
  <c r="N33" i="7"/>
  <c r="O33" i="7" s="1"/>
  <c r="M46" i="16"/>
  <c r="I53" i="5"/>
  <c r="H58" i="5"/>
  <c r="D55" i="5" s="1"/>
  <c r="D57" i="5" s="1"/>
  <c r="G158" i="3"/>
  <c r="H158" i="3" s="1"/>
  <c r="N42" i="11"/>
  <c r="O42" i="11" s="1"/>
  <c r="I149" i="7"/>
  <c r="H151" i="7"/>
  <c r="H125" i="16"/>
  <c r="H127" i="16" s="1"/>
  <c r="I86" i="16"/>
  <c r="J86" i="16" s="1"/>
  <c r="H88" i="16"/>
  <c r="N32" i="7"/>
  <c r="O32" i="7" s="1"/>
  <c r="N37" i="7"/>
  <c r="O37" i="7" s="1"/>
  <c r="N44" i="16"/>
  <c r="O44" i="16" s="1"/>
  <c r="K45" i="7"/>
  <c r="H60" i="16"/>
  <c r="I58" i="16"/>
  <c r="J58" i="16" s="1"/>
  <c r="K58" i="16" s="1"/>
  <c r="J56" i="16"/>
  <c r="M33" i="7"/>
  <c r="H49" i="7"/>
  <c r="I47" i="7"/>
  <c r="J47" i="7" s="1"/>
  <c r="K47" i="7" s="1"/>
  <c r="G58" i="5"/>
  <c r="H106" i="5"/>
  <c r="H38" i="5"/>
  <c r="G40" i="5"/>
  <c r="H40" i="5" s="1"/>
  <c r="I40" i="5" s="1"/>
  <c r="F42" i="5"/>
  <c r="G42" i="5" s="1"/>
  <c r="H42" i="5" s="1"/>
  <c r="I42" i="5" s="1"/>
  <c r="N37" i="3"/>
  <c r="O37" i="3" s="1"/>
  <c r="G77" i="3"/>
  <c r="H77" i="3" s="1"/>
  <c r="I77" i="3" s="1"/>
  <c r="H128" i="11"/>
  <c r="I126" i="11"/>
  <c r="J126" i="11" s="1"/>
  <c r="K126" i="11" s="1"/>
  <c r="I146" i="11"/>
  <c r="J146" i="11" s="1"/>
  <c r="H148" i="11"/>
  <c r="I75" i="3"/>
  <c r="M40" i="3"/>
  <c r="I50" i="3"/>
  <c r="H145" i="1"/>
  <c r="I145" i="1" s="1"/>
  <c r="J145" i="1" s="1"/>
  <c r="M37" i="1"/>
  <c r="G13" i="5"/>
  <c r="H13" i="5" s="1"/>
  <c r="F15" i="5"/>
  <c r="G15" i="5" s="1"/>
  <c r="H15" i="5" s="1"/>
  <c r="N35" i="3"/>
  <c r="O35" i="3" s="1"/>
  <c r="J47" i="1"/>
  <c r="M32" i="1"/>
  <c r="J123" i="16"/>
  <c r="I49" i="1"/>
  <c r="J49" i="1" s="1"/>
  <c r="K49" i="1" s="1"/>
  <c r="H51" i="1"/>
  <c r="H74" i="7"/>
  <c r="I72" i="7"/>
  <c r="I146" i="16"/>
  <c r="J146" i="16" s="1"/>
  <c r="H148" i="16"/>
  <c r="J86" i="11"/>
  <c r="I68" i="1"/>
  <c r="J68" i="1" s="1"/>
  <c r="H70" i="1"/>
  <c r="G160" i="3"/>
  <c r="H160" i="3" s="1"/>
  <c r="F162" i="3"/>
  <c r="M42" i="11"/>
  <c r="J35" i="1"/>
  <c r="N31" i="1" s="1"/>
  <c r="M34" i="1"/>
  <c r="H26" i="16"/>
  <c r="I24" i="16"/>
  <c r="J24" i="16" s="1"/>
  <c r="H15" i="1"/>
  <c r="I13" i="1"/>
  <c r="K34" i="7"/>
  <c r="M34" i="7" s="1"/>
  <c r="N36" i="7"/>
  <c r="O36" i="7" s="1"/>
  <c r="N31" i="7"/>
  <c r="N35" i="7"/>
  <c r="O35" i="7" s="1"/>
  <c r="H11" i="5"/>
  <c r="M32" i="7"/>
  <c r="N40" i="3"/>
  <c r="O40" i="3" s="1"/>
  <c r="M44" i="11"/>
  <c r="G54" i="3"/>
  <c r="F56" i="3"/>
  <c r="F21" i="3"/>
  <c r="G19" i="3"/>
  <c r="H19" i="3" s="1"/>
  <c r="F81" i="3"/>
  <c r="G79" i="3"/>
  <c r="H79" i="3" s="1"/>
  <c r="I79" i="3" s="1"/>
  <c r="K43" i="11"/>
  <c r="M43" i="11" s="1"/>
  <c r="N41" i="11"/>
  <c r="O41" i="11" s="1"/>
  <c r="N44" i="11"/>
  <c r="O44" i="11" s="1"/>
  <c r="N46" i="11"/>
  <c r="O46" i="11" s="1"/>
  <c r="N40" i="11"/>
  <c r="N45" i="11"/>
  <c r="O45" i="11" s="1"/>
  <c r="J27" i="5"/>
  <c r="M26" i="5"/>
  <c r="J113" i="16" l="1"/>
  <c r="J113" i="11"/>
  <c r="I113" i="16"/>
  <c r="I64" i="11"/>
  <c r="J64" i="11" s="1"/>
  <c r="J67" i="11" s="1"/>
  <c r="I113" i="11"/>
  <c r="D104" i="5"/>
  <c r="D106" i="5"/>
  <c r="V24" i="12" s="1"/>
  <c r="H96" i="1"/>
  <c r="I96" i="1" s="1"/>
  <c r="J96" i="1" s="1"/>
  <c r="I94" i="1"/>
  <c r="J94" i="1" s="1"/>
  <c r="J129" i="1"/>
  <c r="I132" i="1"/>
  <c r="H105" i="3"/>
  <c r="I105" i="3" s="1"/>
  <c r="H103" i="3"/>
  <c r="I103" i="3" s="1"/>
  <c r="I101" i="3"/>
  <c r="G106" i="3"/>
  <c r="R23" i="12"/>
  <c r="D91" i="7"/>
  <c r="I137" i="7"/>
  <c r="H26" i="11"/>
  <c r="I26" i="11" s="1"/>
  <c r="J26" i="11" s="1"/>
  <c r="O40" i="16"/>
  <c r="N47" i="16"/>
  <c r="O47" i="16" s="1"/>
  <c r="N33" i="1"/>
  <c r="O33" i="1" s="1"/>
  <c r="O33" i="3"/>
  <c r="N41" i="3"/>
  <c r="O41" i="3" s="1"/>
  <c r="G15" i="7"/>
  <c r="H15" i="7" s="1"/>
  <c r="I88" i="11"/>
  <c r="J88" i="11" s="1"/>
  <c r="I125" i="16"/>
  <c r="J125" i="16" s="1"/>
  <c r="K125" i="16" s="1"/>
  <c r="N35" i="1"/>
  <c r="O35" i="1" s="1"/>
  <c r="M35" i="1"/>
  <c r="H147" i="1"/>
  <c r="H153" i="7"/>
  <c r="I151" i="7"/>
  <c r="J151" i="7" s="1"/>
  <c r="J149" i="7"/>
  <c r="I88" i="16"/>
  <c r="J88" i="16" s="1"/>
  <c r="H90" i="16"/>
  <c r="K56" i="16"/>
  <c r="I49" i="7"/>
  <c r="J49" i="7" s="1"/>
  <c r="H51" i="7"/>
  <c r="I60" i="16"/>
  <c r="J60" i="16" s="1"/>
  <c r="K60" i="16" s="1"/>
  <c r="H62" i="16"/>
  <c r="G16" i="5"/>
  <c r="R24" i="12"/>
  <c r="I38" i="5"/>
  <c r="I43" i="5" s="1"/>
  <c r="I44" i="5" s="1"/>
  <c r="K23" i="12" s="1"/>
  <c r="H43" i="5"/>
  <c r="H44" i="5" s="1"/>
  <c r="G23" i="12" s="1"/>
  <c r="G43" i="5"/>
  <c r="I128" i="11"/>
  <c r="J128" i="11" s="1"/>
  <c r="K128" i="11" s="1"/>
  <c r="H130" i="11"/>
  <c r="I148" i="11"/>
  <c r="J148" i="11" s="1"/>
  <c r="H150" i="11"/>
  <c r="O31" i="1"/>
  <c r="O31" i="7"/>
  <c r="K28" i="5"/>
  <c r="M28" i="5" s="1"/>
  <c r="N25" i="5"/>
  <c r="N27" i="5"/>
  <c r="O27" i="5" s="1"/>
  <c r="N26" i="5"/>
  <c r="O26" i="5" s="1"/>
  <c r="G56" i="3"/>
  <c r="H56" i="3" s="1"/>
  <c r="I56" i="3" s="1"/>
  <c r="F58" i="3"/>
  <c r="I26" i="16"/>
  <c r="H28" i="16"/>
  <c r="K36" i="1"/>
  <c r="M36" i="1" s="1"/>
  <c r="F164" i="3"/>
  <c r="G162" i="3"/>
  <c r="H162" i="3" s="1"/>
  <c r="G17" i="7"/>
  <c r="H17" i="7" s="1"/>
  <c r="F19" i="7"/>
  <c r="N32" i="1"/>
  <c r="O32" i="1" s="1"/>
  <c r="H76" i="7"/>
  <c r="I74" i="7"/>
  <c r="J74" i="7" s="1"/>
  <c r="O40" i="11"/>
  <c r="J13" i="1"/>
  <c r="H72" i="1"/>
  <c r="I70" i="1"/>
  <c r="J70" i="1" s="1"/>
  <c r="H150" i="16"/>
  <c r="I150" i="16" s="1"/>
  <c r="J150" i="16" s="1"/>
  <c r="I148" i="16"/>
  <c r="I127" i="16"/>
  <c r="H129" i="16"/>
  <c r="H16" i="5"/>
  <c r="D14" i="5" s="1"/>
  <c r="N34" i="7"/>
  <c r="O34" i="7" s="1"/>
  <c r="I15" i="1"/>
  <c r="J15" i="1" s="1"/>
  <c r="H17" i="1"/>
  <c r="N34" i="1"/>
  <c r="O34" i="1" s="1"/>
  <c r="H54" i="3"/>
  <c r="J24" i="11"/>
  <c r="M27" i="5"/>
  <c r="K123" i="16"/>
  <c r="N43" i="11"/>
  <c r="O43" i="11" s="1"/>
  <c r="G81" i="3"/>
  <c r="H81" i="3" s="1"/>
  <c r="I81" i="3" s="1"/>
  <c r="F83" i="3"/>
  <c r="F23" i="3"/>
  <c r="G23" i="3" s="1"/>
  <c r="H23" i="3" s="1"/>
  <c r="G21" i="3"/>
  <c r="H21" i="3" s="1"/>
  <c r="J72" i="7"/>
  <c r="I51" i="1"/>
  <c r="J51" i="1" s="1"/>
  <c r="K51" i="1" s="1"/>
  <c r="H53" i="1"/>
  <c r="N37" i="1"/>
  <c r="O37" i="1" s="1"/>
  <c r="K47" i="1"/>
  <c r="I90" i="11"/>
  <c r="H92" i="11"/>
  <c r="I67" i="11" l="1"/>
  <c r="D105" i="16"/>
  <c r="D107" i="11"/>
  <c r="I75" i="11" s="1"/>
  <c r="D105" i="11"/>
  <c r="D109" i="11" s="1"/>
  <c r="K64" i="11"/>
  <c r="J68" i="11"/>
  <c r="E8" i="11" s="1"/>
  <c r="E75" i="11"/>
  <c r="H106" i="3"/>
  <c r="D96" i="3" s="1"/>
  <c r="D98" i="3" s="1"/>
  <c r="V22" i="10" s="1"/>
  <c r="J97" i="1"/>
  <c r="I97" i="1"/>
  <c r="K129" i="1"/>
  <c r="K132" i="1" s="1"/>
  <c r="K133" i="1" s="1"/>
  <c r="J132" i="1"/>
  <c r="D93" i="7"/>
  <c r="V22" i="14" s="1"/>
  <c r="R22" i="14"/>
  <c r="R25" i="12"/>
  <c r="V23" i="12"/>
  <c r="V25" i="12" s="1"/>
  <c r="H24" i="3"/>
  <c r="D14" i="3" s="1"/>
  <c r="D16" i="3" s="1"/>
  <c r="K22" i="10" s="1"/>
  <c r="O49" i="16"/>
  <c r="I9" i="16" s="1"/>
  <c r="H28" i="11"/>
  <c r="H30" i="11" s="1"/>
  <c r="I30" i="11" s="1"/>
  <c r="J30" i="11" s="1"/>
  <c r="N47" i="11"/>
  <c r="O47" i="11" s="1"/>
  <c r="N38" i="7"/>
  <c r="O43" i="3"/>
  <c r="K24" i="10" s="1"/>
  <c r="N49" i="16"/>
  <c r="E9" i="16" s="1"/>
  <c r="N43" i="3"/>
  <c r="G24" i="10" s="1"/>
  <c r="H149" i="1"/>
  <c r="I147" i="1"/>
  <c r="J147" i="1" s="1"/>
  <c r="I153" i="7"/>
  <c r="J153" i="7" s="1"/>
  <c r="H155" i="7"/>
  <c r="I155" i="7" s="1"/>
  <c r="J155" i="7" s="1"/>
  <c r="K138" i="7"/>
  <c r="J138" i="7"/>
  <c r="H92" i="16"/>
  <c r="I90" i="16"/>
  <c r="J90" i="16" s="1"/>
  <c r="K49" i="7"/>
  <c r="H64" i="16"/>
  <c r="I62" i="16"/>
  <c r="J62" i="16" s="1"/>
  <c r="K62" i="16" s="1"/>
  <c r="H53" i="7"/>
  <c r="I51" i="7"/>
  <c r="J51" i="7" s="1"/>
  <c r="K51" i="7" s="1"/>
  <c r="H132" i="11"/>
  <c r="I130" i="11"/>
  <c r="I150" i="11"/>
  <c r="H152" i="11"/>
  <c r="I54" i="3"/>
  <c r="N36" i="1"/>
  <c r="O36" i="1" s="1"/>
  <c r="H19" i="1"/>
  <c r="I17" i="1"/>
  <c r="J17" i="1" s="1"/>
  <c r="I28" i="16"/>
  <c r="J28" i="16" s="1"/>
  <c r="H30" i="16"/>
  <c r="I30" i="16" s="1"/>
  <c r="J30" i="16" s="1"/>
  <c r="N28" i="5"/>
  <c r="O28" i="5" s="1"/>
  <c r="J90" i="11"/>
  <c r="I53" i="1"/>
  <c r="J53" i="1" s="1"/>
  <c r="H55" i="1"/>
  <c r="D16" i="5"/>
  <c r="K22" i="12" s="1"/>
  <c r="G22" i="12"/>
  <c r="O25" i="5"/>
  <c r="G83" i="3"/>
  <c r="H83" i="3" s="1"/>
  <c r="I83" i="3" s="1"/>
  <c r="F85" i="3"/>
  <c r="G85" i="3" s="1"/>
  <c r="H85" i="3" s="1"/>
  <c r="J127" i="16"/>
  <c r="I72" i="1"/>
  <c r="H74" i="1"/>
  <c r="F166" i="3"/>
  <c r="G164" i="3"/>
  <c r="J26" i="16"/>
  <c r="I129" i="16"/>
  <c r="J129" i="16" s="1"/>
  <c r="K129" i="16" s="1"/>
  <c r="H131" i="16"/>
  <c r="I131" i="16" s="1"/>
  <c r="J131" i="16" s="1"/>
  <c r="K131" i="16" s="1"/>
  <c r="I76" i="7"/>
  <c r="H78" i="7"/>
  <c r="I78" i="7" s="1"/>
  <c r="J78" i="7" s="1"/>
  <c r="I92" i="11"/>
  <c r="J92" i="11" s="1"/>
  <c r="H94" i="11"/>
  <c r="I94" i="11" s="1"/>
  <c r="J94" i="11" s="1"/>
  <c r="G24" i="3"/>
  <c r="J148" i="16"/>
  <c r="I151" i="16"/>
  <c r="G19" i="7"/>
  <c r="F21" i="7"/>
  <c r="G21" i="7" s="1"/>
  <c r="H21" i="7" s="1"/>
  <c r="G58" i="3"/>
  <c r="F60" i="3"/>
  <c r="T25" i="12" l="1"/>
  <c r="V34" i="12"/>
  <c r="Q25" i="12"/>
  <c r="R34" i="12"/>
  <c r="D109" i="16"/>
  <c r="E75" i="16"/>
  <c r="D107" i="16"/>
  <c r="I75" i="16" s="1"/>
  <c r="R22" i="10"/>
  <c r="K67" i="11"/>
  <c r="K68" i="11" s="1"/>
  <c r="N40" i="7"/>
  <c r="G24" i="14" s="1"/>
  <c r="O38" i="7"/>
  <c r="O40" i="7" s="1"/>
  <c r="K24" i="14" s="1"/>
  <c r="D91" i="1"/>
  <c r="V22" i="9" s="1"/>
  <c r="D89" i="1"/>
  <c r="D124" i="1"/>
  <c r="J133" i="1"/>
  <c r="V33" i="12"/>
  <c r="I28" i="11"/>
  <c r="J28" i="11" s="1"/>
  <c r="J95" i="11"/>
  <c r="N38" i="1"/>
  <c r="O38" i="1" s="1"/>
  <c r="N29" i="5"/>
  <c r="O29" i="5" s="1"/>
  <c r="J151" i="16"/>
  <c r="J156" i="7"/>
  <c r="N49" i="11"/>
  <c r="E9" i="11" s="1"/>
  <c r="R33" i="12"/>
  <c r="G22" i="10"/>
  <c r="D18" i="3"/>
  <c r="I149" i="1"/>
  <c r="H151" i="1"/>
  <c r="I151" i="1" s="1"/>
  <c r="J151" i="1" s="1"/>
  <c r="I156" i="7"/>
  <c r="I92" i="16"/>
  <c r="J92" i="16" s="1"/>
  <c r="H94" i="16"/>
  <c r="I94" i="16" s="1"/>
  <c r="J94" i="16" s="1"/>
  <c r="I64" i="16"/>
  <c r="J64" i="16" s="1"/>
  <c r="K64" i="16" s="1"/>
  <c r="H66" i="16"/>
  <c r="I66" i="16" s="1"/>
  <c r="J66" i="16" s="1"/>
  <c r="J31" i="16"/>
  <c r="D23" i="16" s="1"/>
  <c r="E7" i="16" s="1"/>
  <c r="H55" i="7"/>
  <c r="I53" i="7"/>
  <c r="J53" i="7" s="1"/>
  <c r="K53" i="7" s="1"/>
  <c r="I85" i="3"/>
  <c r="H86" i="3"/>
  <c r="J130" i="11"/>
  <c r="I132" i="11"/>
  <c r="J132" i="11" s="1"/>
  <c r="K132" i="11" s="1"/>
  <c r="H134" i="11"/>
  <c r="I134" i="11" s="1"/>
  <c r="J134" i="11" s="1"/>
  <c r="K134" i="11" s="1"/>
  <c r="J150" i="11"/>
  <c r="H154" i="11"/>
  <c r="I154" i="11" s="1"/>
  <c r="J154" i="11" s="1"/>
  <c r="I152" i="11"/>
  <c r="J152" i="11" s="1"/>
  <c r="O49" i="11"/>
  <c r="I9" i="11" s="1"/>
  <c r="I74" i="1"/>
  <c r="J74" i="1" s="1"/>
  <c r="H76" i="1"/>
  <c r="H19" i="7"/>
  <c r="H22" i="7" s="1"/>
  <c r="D14" i="7" s="1"/>
  <c r="G22" i="7"/>
  <c r="F146" i="3"/>
  <c r="G146" i="3" s="1"/>
  <c r="H146" i="3" s="1"/>
  <c r="I146" i="3" s="1"/>
  <c r="I147" i="3"/>
  <c r="I148" i="3" s="1"/>
  <c r="I31" i="16"/>
  <c r="K127" i="16"/>
  <c r="K132" i="16" s="1"/>
  <c r="K133" i="16" s="1"/>
  <c r="J132" i="16"/>
  <c r="J133" i="16" s="1"/>
  <c r="H21" i="1"/>
  <c r="I21" i="1" s="1"/>
  <c r="J21" i="1" s="1"/>
  <c r="I19" i="1"/>
  <c r="H58" i="3"/>
  <c r="H164" i="3"/>
  <c r="J72" i="1"/>
  <c r="G86" i="3"/>
  <c r="I55" i="1"/>
  <c r="H57" i="1"/>
  <c r="I57" i="1" s="1"/>
  <c r="J57" i="1" s="1"/>
  <c r="I95" i="11"/>
  <c r="G60" i="3"/>
  <c r="H60" i="3" s="1"/>
  <c r="I60" i="3" s="1"/>
  <c r="F62" i="3"/>
  <c r="G62" i="3" s="1"/>
  <c r="H62" i="3" s="1"/>
  <c r="I62" i="3" s="1"/>
  <c r="J76" i="7"/>
  <c r="I79" i="7"/>
  <c r="G166" i="3"/>
  <c r="H166" i="3" s="1"/>
  <c r="F168" i="3"/>
  <c r="G168" i="3" s="1"/>
  <c r="H168" i="3" s="1"/>
  <c r="I132" i="16"/>
  <c r="K53" i="1"/>
  <c r="D87" i="11" l="1"/>
  <c r="D91" i="11" s="1"/>
  <c r="D89" i="11"/>
  <c r="I74" i="11" s="1"/>
  <c r="I8" i="11"/>
  <c r="D93" i="1"/>
  <c r="R22" i="9"/>
  <c r="D126" i="1"/>
  <c r="D128" i="1"/>
  <c r="K66" i="16"/>
  <c r="J67" i="16"/>
  <c r="K67" i="16" s="1"/>
  <c r="I31" i="11"/>
  <c r="K57" i="1"/>
  <c r="D148" i="7"/>
  <c r="D152" i="7" s="1"/>
  <c r="D76" i="3"/>
  <c r="D143" i="16"/>
  <c r="D145" i="16" s="1"/>
  <c r="I76" i="16" s="1"/>
  <c r="E74" i="11"/>
  <c r="N31" i="5"/>
  <c r="G24" i="12" s="1"/>
  <c r="D27" i="16"/>
  <c r="D25" i="16"/>
  <c r="I7" i="16" s="1"/>
  <c r="J95" i="16"/>
  <c r="I95" i="16"/>
  <c r="J31" i="11"/>
  <c r="D23" i="11" s="1"/>
  <c r="J155" i="11"/>
  <c r="J79" i="7"/>
  <c r="J149" i="1"/>
  <c r="J152" i="1" s="1"/>
  <c r="I152" i="1"/>
  <c r="H57" i="7"/>
  <c r="I57" i="7" s="1"/>
  <c r="J57" i="7" s="1"/>
  <c r="K57" i="7" s="1"/>
  <c r="I55" i="7"/>
  <c r="I67" i="16"/>
  <c r="O31" i="5"/>
  <c r="K24" i="12" s="1"/>
  <c r="H169" i="3"/>
  <c r="I135" i="11"/>
  <c r="H147" i="3"/>
  <c r="H148" i="3" s="1"/>
  <c r="J135" i="11"/>
  <c r="J136" i="11" s="1"/>
  <c r="K130" i="11"/>
  <c r="K135" i="11" s="1"/>
  <c r="K136" i="11" s="1"/>
  <c r="I155" i="11"/>
  <c r="I58" i="3"/>
  <c r="I63" i="3" s="1"/>
  <c r="I64" i="3" s="1"/>
  <c r="K23" i="10" s="1"/>
  <c r="H63" i="3"/>
  <c r="H64" i="3" s="1"/>
  <c r="G23" i="10" s="1"/>
  <c r="N40" i="1"/>
  <c r="G24" i="9" s="1"/>
  <c r="O40" i="1"/>
  <c r="K24" i="9" s="1"/>
  <c r="G22" i="14"/>
  <c r="D16" i="7"/>
  <c r="K22" i="14" s="1"/>
  <c r="D18" i="7"/>
  <c r="G63" i="3"/>
  <c r="J19" i="1"/>
  <c r="J22" i="1" s="1"/>
  <c r="D14" i="1" s="1"/>
  <c r="I22" i="1"/>
  <c r="G147" i="3"/>
  <c r="I76" i="1"/>
  <c r="H78" i="1"/>
  <c r="I78" i="1" s="1"/>
  <c r="J78" i="1" s="1"/>
  <c r="J55" i="1"/>
  <c r="J58" i="1" s="1"/>
  <c r="I58" i="1"/>
  <c r="G169" i="3"/>
  <c r="J68" i="16" l="1"/>
  <c r="K68" i="16"/>
  <c r="I8" i="16" s="1"/>
  <c r="I10" i="16" s="1"/>
  <c r="K34" i="14" s="1"/>
  <c r="E74" i="16"/>
  <c r="E76" i="16"/>
  <c r="D147" i="11"/>
  <c r="E76" i="11" s="1"/>
  <c r="E77" i="11" s="1"/>
  <c r="R34" i="10" s="1"/>
  <c r="D150" i="7"/>
  <c r="V24" i="14" s="1"/>
  <c r="R23" i="10"/>
  <c r="D78" i="3"/>
  <c r="D71" i="7"/>
  <c r="D73" i="7" s="1"/>
  <c r="E8" i="16"/>
  <c r="G25" i="12"/>
  <c r="I40" i="12" s="1"/>
  <c r="I41" i="12" s="1"/>
  <c r="K25" i="12"/>
  <c r="J40" i="12" s="1"/>
  <c r="J41" i="12" s="1"/>
  <c r="G25" i="10"/>
  <c r="J59" i="1"/>
  <c r="G23" i="9" s="1"/>
  <c r="K25" i="10"/>
  <c r="D147" i="16"/>
  <c r="R24" i="14"/>
  <c r="D159" i="3"/>
  <c r="R24" i="10" s="1"/>
  <c r="D87" i="16"/>
  <c r="D144" i="1"/>
  <c r="D146" i="1" s="1"/>
  <c r="D25" i="11"/>
  <c r="I7" i="11" s="1"/>
  <c r="D27" i="11"/>
  <c r="E7" i="11"/>
  <c r="J55" i="7"/>
  <c r="I58" i="7"/>
  <c r="G22" i="9"/>
  <c r="D18" i="1"/>
  <c r="D16" i="1"/>
  <c r="K55" i="1"/>
  <c r="K58" i="1" s="1"/>
  <c r="J76" i="1"/>
  <c r="J79" i="1" s="1"/>
  <c r="I79" i="1"/>
  <c r="I25" i="10" l="1"/>
  <c r="J40" i="10"/>
  <c r="J41" i="10" s="1"/>
  <c r="F25" i="10"/>
  <c r="I40" i="10"/>
  <c r="I41" i="10" s="1"/>
  <c r="D149" i="11"/>
  <c r="I76" i="11" s="1"/>
  <c r="I77" i="11" s="1"/>
  <c r="V34" i="10" s="1"/>
  <c r="D91" i="16"/>
  <c r="D89" i="16"/>
  <c r="I74" i="16" s="1"/>
  <c r="I77" i="16" s="1"/>
  <c r="V34" i="14" s="1"/>
  <c r="D161" i="3"/>
  <c r="V24" i="10" s="1"/>
  <c r="R24" i="9"/>
  <c r="V24" i="9"/>
  <c r="R25" i="10"/>
  <c r="V23" i="10"/>
  <c r="V23" i="14"/>
  <c r="R23" i="14"/>
  <c r="R25" i="14" s="1"/>
  <c r="Q25" i="14" s="1"/>
  <c r="I25" i="12"/>
  <c r="K34" i="12"/>
  <c r="F25" i="12"/>
  <c r="G34" i="12"/>
  <c r="E10" i="16"/>
  <c r="G34" i="14" s="1"/>
  <c r="E10" i="11"/>
  <c r="G34" i="10" s="1"/>
  <c r="G33" i="10" s="1"/>
  <c r="I10" i="11"/>
  <c r="K34" i="10" s="1"/>
  <c r="K33" i="10" s="1"/>
  <c r="K33" i="12"/>
  <c r="G33" i="12"/>
  <c r="G25" i="9"/>
  <c r="I40" i="9" s="1"/>
  <c r="I41" i="9" s="1"/>
  <c r="K59" i="1"/>
  <c r="K23" i="9" s="1"/>
  <c r="E77" i="16"/>
  <c r="R34" i="14" s="1"/>
  <c r="R33" i="14" s="1"/>
  <c r="D151" i="11"/>
  <c r="D71" i="1"/>
  <c r="D148" i="1"/>
  <c r="K55" i="7"/>
  <c r="K58" i="7" s="1"/>
  <c r="K59" i="7" s="1"/>
  <c r="K23" i="14" s="1"/>
  <c r="K25" i="14" s="1"/>
  <c r="J40" i="14" s="1"/>
  <c r="J41" i="14" s="1"/>
  <c r="J58" i="7"/>
  <c r="J59" i="7" s="1"/>
  <c r="G23" i="14" s="1"/>
  <c r="G25" i="14" s="1"/>
  <c r="I40" i="14" s="1"/>
  <c r="I41" i="14" s="1"/>
  <c r="K22" i="9"/>
  <c r="G34" i="9" l="1"/>
  <c r="D73" i="1"/>
  <c r="V23" i="9" s="1"/>
  <c r="V25" i="9" s="1"/>
  <c r="V34" i="9" s="1"/>
  <c r="R23" i="9"/>
  <c r="R25" i="9" s="1"/>
  <c r="R33" i="9" s="1"/>
  <c r="R34" i="9" s="1"/>
  <c r="V25" i="10"/>
  <c r="T25" i="10" s="1"/>
  <c r="V25" i="14"/>
  <c r="T25" i="14" s="1"/>
  <c r="K25" i="9"/>
  <c r="J40" i="9" s="1"/>
  <c r="J41" i="9" s="1"/>
  <c r="I25" i="14"/>
  <c r="K33" i="14"/>
  <c r="F25" i="14"/>
  <c r="G33" i="14"/>
  <c r="Q25" i="10"/>
  <c r="R33" i="10"/>
  <c r="D75" i="1"/>
  <c r="G33" i="9"/>
  <c r="F25" i="9"/>
  <c r="K34" i="9" l="1"/>
  <c r="V33" i="14"/>
  <c r="V33" i="10"/>
  <c r="I25" i="9"/>
  <c r="K33" i="9"/>
  <c r="Q25" i="9"/>
  <c r="V33" i="9"/>
  <c r="T25" i="9"/>
</calcChain>
</file>

<file path=xl/sharedStrings.xml><?xml version="1.0" encoding="utf-8"?>
<sst xmlns="http://schemas.openxmlformats.org/spreadsheetml/2006/main" count="1768" uniqueCount="177">
  <si>
    <t>Liablity Amount</t>
  </si>
  <si>
    <t>Base Thousand (up)</t>
  </si>
  <si>
    <t>Remaining after initial 50K</t>
  </si>
  <si>
    <t>First 50 Rate</t>
  </si>
  <si>
    <t>Rate Table</t>
  </si>
  <si>
    <t>First 50</t>
  </si>
  <si>
    <t>Up to 100K</t>
  </si>
  <si>
    <t>K At Next Tier</t>
  </si>
  <si>
    <t>2nd Tier Adtl Rate</t>
  </si>
  <si>
    <t>Remaining after 2nd tier</t>
  </si>
  <si>
    <t>3rd Tier Adtl Rate</t>
  </si>
  <si>
    <t>Up to 1M</t>
  </si>
  <si>
    <t>Up to 5M</t>
  </si>
  <si>
    <t>Up to 10M</t>
  </si>
  <si>
    <t>Up to 15M</t>
  </si>
  <si>
    <t>Over 15M</t>
  </si>
  <si>
    <t>Remaining after 3rd tier</t>
  </si>
  <si>
    <t>Per 1000</t>
  </si>
  <si>
    <t>Tier</t>
  </si>
  <si>
    <t>Base</t>
  </si>
  <si>
    <t>Remaining after 4th tier</t>
  </si>
  <si>
    <t>4th Tier Adtl Rate</t>
  </si>
  <si>
    <t>5th Tier Adtl Rate</t>
  </si>
  <si>
    <t>Over 50 K &amp; Up To 100K</t>
  </si>
  <si>
    <t>Over 100K &amp; Up To 1M</t>
  </si>
  <si>
    <t>Over 5M &amp; Up To 10M</t>
  </si>
  <si>
    <t>Over 1M &amp; Up To 5M</t>
  </si>
  <si>
    <t>Over 10M &amp; Up To 15M</t>
  </si>
  <si>
    <t>Remainng after 5th tier</t>
  </si>
  <si>
    <t>6th Tier Adtl Rate</t>
  </si>
  <si>
    <t>Remaining after 6th tier</t>
  </si>
  <si>
    <t>7th Tier Adtl Rate</t>
  </si>
  <si>
    <t>K At First Tier</t>
  </si>
  <si>
    <t>Totals</t>
  </si>
  <si>
    <t>First 1K</t>
  </si>
  <si>
    <t xml:space="preserve">Over 100K up to 500K </t>
  </si>
  <si>
    <t>Over 500K up 1M</t>
  </si>
  <si>
    <t xml:space="preserve">Over 1M up to 5M </t>
  </si>
  <si>
    <t>Over 5M up to 10M</t>
  </si>
  <si>
    <t>Over 10M up to 15M</t>
  </si>
  <si>
    <t>First 1 Rate</t>
  </si>
  <si>
    <t>Over 1 K &amp; Up To 100K</t>
  </si>
  <si>
    <t>Over 100K &amp; Up To 500K</t>
  </si>
  <si>
    <t>Over 500K &amp; Up To 1M</t>
  </si>
  <si>
    <t>Remaining after 7th tier</t>
  </si>
  <si>
    <t>8th Tier Adtl Rate</t>
  </si>
  <si>
    <t>Over 1K up to 100K</t>
  </si>
  <si>
    <t>Over 100K up to 1M</t>
  </si>
  <si>
    <t>Over 1M</t>
  </si>
  <si>
    <t>Over 1M up to 5M</t>
  </si>
  <si>
    <t>Remainng after 4th tier</t>
  </si>
  <si>
    <t>Remaining after 5th tier</t>
  </si>
  <si>
    <t>Enhanced Premium</t>
  </si>
  <si>
    <t>Standard Premium</t>
  </si>
  <si>
    <t>Refinace Premium</t>
  </si>
  <si>
    <t>Refinance Premium</t>
  </si>
  <si>
    <t>Enhnaced Premium</t>
  </si>
  <si>
    <t xml:space="preserve">First Loan Amount </t>
  </si>
  <si>
    <t>Standard Owner's Policy Premium</t>
  </si>
  <si>
    <t>Homeowner's Policy Premium</t>
  </si>
  <si>
    <t>Standard Owner's Policy Premium Calculation</t>
  </si>
  <si>
    <t>Simultaneous Issue Calculations</t>
  </si>
  <si>
    <t>Tier Start</t>
  </si>
  <si>
    <t>Tier End</t>
  </si>
  <si>
    <t>Base Thousand Evaluation</t>
  </si>
  <si>
    <t>Remaining Balance For Rate Calulcation</t>
  </si>
  <si>
    <t>First Loan Simultaneous Issue Calculations</t>
  </si>
  <si>
    <t>Simultaneous Issue Loan Premium</t>
  </si>
  <si>
    <t>Sim Premium</t>
  </si>
  <si>
    <t>Sim Issue Fee</t>
  </si>
  <si>
    <t>Total Sim Loan Issue</t>
  </si>
  <si>
    <t>Standard Owners</t>
  </si>
  <si>
    <t>Homeowners Policy Premium</t>
  </si>
  <si>
    <t>Simultaneous Issue Expanded Loan Premium</t>
  </si>
  <si>
    <t>Re-issue Credit</t>
  </si>
  <si>
    <t xml:space="preserve">Re-Issue Calculation </t>
  </si>
  <si>
    <t xml:space="preserve">Enhanced </t>
  </si>
  <si>
    <t>Total</t>
  </si>
  <si>
    <t>Agent Premium Split (%)</t>
  </si>
  <si>
    <t>Premium Portion Due To Agent</t>
  </si>
  <si>
    <t>Premium Portion Due To FNTG</t>
  </si>
  <si>
    <t>Purchase</t>
  </si>
  <si>
    <t>Refinance</t>
  </si>
  <si>
    <t>Standard First Loan Policy Premium</t>
  </si>
  <si>
    <t>Standard Second Loan Policy Premium</t>
  </si>
  <si>
    <t>Expanded First Loan Premium</t>
  </si>
  <si>
    <t>Expanded Second Loan Premium</t>
  </si>
  <si>
    <t>Enhanced</t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</si>
  <si>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Loan</t>
    </r>
    <r>
      <rPr>
        <sz val="12"/>
        <color theme="1"/>
        <rFont val="Calibri"/>
        <family val="2"/>
        <scheme val="minor"/>
      </rPr>
      <t xml:space="preserve"> Amount </t>
    </r>
  </si>
  <si>
    <t>Calculated Rates</t>
  </si>
  <si>
    <t>Standard</t>
  </si>
  <si>
    <t>Split Calculation</t>
  </si>
  <si>
    <t>Tennessee Rate Calculator</t>
  </si>
  <si>
    <t>Fidelity National Title Group</t>
  </si>
  <si>
    <t>Standard Permium</t>
  </si>
  <si>
    <t>Main Menu</t>
  </si>
  <si>
    <t>Return To Main Menu</t>
  </si>
  <si>
    <t>Contains the National Rate Table</t>
  </si>
  <si>
    <t>National Data</t>
  </si>
  <si>
    <t>Data driving rates calculated in "National Rates" tab</t>
  </si>
  <si>
    <t>National Rate Table</t>
  </si>
  <si>
    <t>Calculations for finding the FNTG remittance value when the remittance is based off the national rates rather then the county rate</t>
  </si>
  <si>
    <t>Shelby Data</t>
  </si>
  <si>
    <t>Data driving rates calculated in "Shelby Rates" tab</t>
  </si>
  <si>
    <t>Shelby Rate Table</t>
  </si>
  <si>
    <t>Contains the Shelby Rate Table</t>
  </si>
  <si>
    <t>Knox &amp; Hamilton Data</t>
  </si>
  <si>
    <t>Data driving rates calculated in "Knox &amp; Hamilton Rates" tab</t>
  </si>
  <si>
    <t>Knox &amp; Hamilton Remit Calcs</t>
  </si>
  <si>
    <t>Knox &amp; Hamilton Rate Table</t>
  </si>
  <si>
    <t>Contains the Knox &amp; Hamilton Rate Table</t>
  </si>
  <si>
    <t>Tab Name</t>
  </si>
  <si>
    <t>Purpose</t>
  </si>
  <si>
    <t>Shelby County</t>
  </si>
  <si>
    <t>Knox &amp; Hamilton Counties</t>
  </si>
  <si>
    <t>Re-issue credit calculation</t>
  </si>
  <si>
    <t>Re-Issue Credit</t>
  </si>
  <si>
    <t>Room Left In Tier</t>
  </si>
  <si>
    <t>K Allowed In Tier</t>
  </si>
  <si>
    <t>Third Tier Break</t>
  </si>
  <si>
    <t>At Following Tier Break</t>
  </si>
  <si>
    <t>Choose County</t>
  </si>
  <si>
    <t>Remaining to Factor</t>
  </si>
  <si>
    <t>Remaining Factor Amount</t>
  </si>
  <si>
    <t>Hidden Tab Guide</t>
  </si>
  <si>
    <t xml:space="preserve">Purpose: This tab acts as a map to define the purpose of all the hidden tabs within this workbook. </t>
  </si>
  <si>
    <t xml:space="preserve">Purpose: Calculates the premium for policies based on the National Rates. </t>
  </si>
  <si>
    <t>Purpose: Defines the premium rate per $1000</t>
  </si>
  <si>
    <t xml:space="preserve">Purpose: Calculates the premium for policies based on the Davidson, Ruthrford and Williamson Counties Rates. </t>
  </si>
  <si>
    <t xml:space="preserve">Purpose: Calculates the remittance amount for agents where the split is based on National Rate rather than the counties rates. </t>
  </si>
  <si>
    <t>Knox &amp; Hamilton Remittance Calculations</t>
  </si>
  <si>
    <t>Reissue Rate Credit</t>
  </si>
  <si>
    <t xml:space="preserve">National Rate </t>
  </si>
  <si>
    <t>Purchase (Owner's Policy Only or Simultaneous Issue)</t>
  </si>
  <si>
    <t>Davidson, Montgomery, Rutherford &amp; Williamson Counties</t>
  </si>
  <si>
    <t>(All other counties except Davidson, Hamilton, Knox, Montgomery, Rutherford, Williamson &amp; Shelby)</t>
  </si>
  <si>
    <t>Davidson, Montgomery, Williamson &amp; Rutherford Counties Rate Table</t>
  </si>
  <si>
    <t>Davidson, Montgomery, Rutherford and Williamson Remittance Calculations</t>
  </si>
  <si>
    <t>Davidson, Montgomery, Rutherford and Williamson Data</t>
  </si>
  <si>
    <t>DMRW Data</t>
  </si>
  <si>
    <t>DMRW Remit Calcs</t>
  </si>
  <si>
    <t>DMRW Rate Table</t>
  </si>
  <si>
    <t>Data driving rates calculated in "D, M, R &amp; W Rates" tab</t>
  </si>
  <si>
    <t>Contains the DMRW Rate Table</t>
  </si>
  <si>
    <r>
      <rPr>
        <sz val="14"/>
        <color theme="0"/>
        <rFont val="Calibri"/>
        <family val="2"/>
        <scheme val="minor"/>
      </rPr>
      <t xml:space="preserve">Note: The Official FNTG National Rate Calculator can be found at </t>
    </r>
    <r>
      <rPr>
        <u/>
        <sz val="14"/>
        <color theme="10"/>
        <rFont val="Calibri"/>
        <family val="2"/>
        <scheme val="minor"/>
      </rPr>
      <t>http://ratecalculator.fnf.com/</t>
    </r>
  </si>
  <si>
    <r>
      <rPr>
        <sz val="10"/>
        <color theme="0"/>
        <rFont val="Calibri"/>
        <family val="2"/>
        <scheme val="minor"/>
      </rPr>
      <t xml:space="preserve">Note: The Official FNTG National Rate Calculator can be found at </t>
    </r>
    <r>
      <rPr>
        <u/>
        <sz val="10"/>
        <color theme="10"/>
        <rFont val="Calibri"/>
        <family val="2"/>
        <scheme val="minor"/>
      </rPr>
      <t>http://ratecalculator.fnf.com/</t>
    </r>
  </si>
  <si>
    <t>Loan Policy Only</t>
  </si>
  <si>
    <t>Reissue Credit</t>
  </si>
  <si>
    <t>Purchase Money Loan Policy Premium</t>
  </si>
  <si>
    <t>Rates Effective May 27, 2015</t>
  </si>
  <si>
    <t>Purchase Money Mortgage</t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</si>
  <si>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Second Loan</t>
    </r>
    <r>
      <rPr>
        <sz val="12"/>
        <color theme="1"/>
        <rFont val="Calibri"/>
        <family val="2"/>
        <scheme val="minor"/>
      </rPr>
      <t xml:space="preserve"> Amount </t>
    </r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</si>
  <si>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Sales</t>
    </r>
    <r>
      <rPr>
        <sz val="12"/>
        <color theme="1"/>
        <rFont val="Calibri"/>
        <family val="2"/>
        <scheme val="minor"/>
      </rPr>
      <t xml:space="preserve"> Amount </t>
    </r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</si>
  <si>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Prior Policy</t>
    </r>
    <r>
      <rPr>
        <sz val="12"/>
        <color theme="1"/>
        <rFont val="Calibri"/>
        <family val="2"/>
        <scheme val="minor"/>
      </rPr>
      <t xml:space="preserve"> Amount </t>
    </r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</si>
  <si>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First Loan</t>
    </r>
    <r>
      <rPr>
        <sz val="12"/>
        <color theme="1"/>
        <rFont val="Calibri"/>
        <family val="2"/>
        <scheme val="minor"/>
      </rPr>
      <t xml:space="preserve"> Amount (non purchase money) </t>
    </r>
  </si>
  <si>
    <r>
      <t xml:space="preserve">Enter </t>
    </r>
    <r>
      <rPr>
        <b/>
        <i/>
        <sz val="12"/>
        <color theme="1"/>
        <rFont val="Calibri"/>
        <family val="2"/>
        <scheme val="minor"/>
      </rPr>
      <t>Purchase Money Loan</t>
    </r>
    <r>
      <rPr>
        <sz val="12"/>
        <color theme="1"/>
        <rFont val="Calibri"/>
        <family val="2"/>
        <scheme val="minor"/>
      </rPr>
      <t xml:space="preserve"> Amount </t>
    </r>
  </si>
  <si>
    <t>Loan</t>
  </si>
  <si>
    <r>
      <t xml:space="preserve">Enter </t>
    </r>
    <r>
      <rPr>
        <b/>
        <i/>
        <sz val="12"/>
        <color theme="1"/>
        <rFont val="Calibri"/>
        <family val="2"/>
        <scheme val="minor"/>
      </rPr>
      <t xml:space="preserve">Purchase Money Loan </t>
    </r>
    <r>
      <rPr>
        <sz val="12"/>
        <color theme="1"/>
        <rFont val="Calibri"/>
        <family val="2"/>
        <scheme val="minor"/>
      </rPr>
      <t xml:space="preserve">Amount </t>
    </r>
  </si>
  <si>
    <t>Purchase Money Loan Premium</t>
  </si>
  <si>
    <r>
      <rPr>
        <sz val="12"/>
        <color rgb="FFDDCB2D"/>
        <rFont val="Calibri"/>
        <family val="2"/>
        <scheme val="minor"/>
      </rPr>
      <t>n</t>
    </r>
    <r>
      <rPr>
        <u/>
        <sz val="12"/>
        <color theme="10"/>
        <rFont val="Calibri"/>
        <family val="2"/>
        <scheme val="minor"/>
      </rPr>
      <t>National Risk Rate</t>
    </r>
    <r>
      <rPr>
        <sz val="12"/>
        <color rgb="FFDDCB2D"/>
        <rFont val="Calibri"/>
        <family val="2"/>
        <scheme val="minor"/>
      </rPr>
      <t xml:space="preserve">e        </t>
    </r>
    <r>
      <rPr>
        <sz val="12"/>
        <color theme="1"/>
        <rFont val="Calibri"/>
        <family val="2"/>
        <scheme val="minor"/>
      </rPr>
      <t>(All Other Counties)</t>
    </r>
  </si>
  <si>
    <t>Puchase Money Loan Policy Premium</t>
  </si>
  <si>
    <t>P: 901.821.0300</t>
  </si>
  <si>
    <t>TIL-RESPA Integrated Disclosure Amounts</t>
  </si>
  <si>
    <t>Title Charges - Owner's Policy Disclosure Amount</t>
  </si>
  <si>
    <t>Owner's Policy - Adjustment</t>
  </si>
  <si>
    <t>Title Charges - Loan Policy Disclosure Amount</t>
  </si>
  <si>
    <r>
      <t xml:space="preserve">Purchase Money Loan Policy Premium </t>
    </r>
    <r>
      <rPr>
        <b/>
        <sz val="12"/>
        <color theme="1"/>
        <rFont val="Calibri"/>
        <family val="2"/>
        <scheme val="minor"/>
      </rPr>
      <t>(for TRID Calculation)</t>
    </r>
  </si>
  <si>
    <t>Purchase Money Loan Policy Premium (for TRID calculation)</t>
  </si>
  <si>
    <t>Purchase Money Mortgage (for TRID calculation)</t>
  </si>
  <si>
    <t>Suite LL37</t>
  </si>
  <si>
    <t>Memphis, TN 38119</t>
  </si>
  <si>
    <t xml:space="preserve">6060 Poplar Avenue </t>
  </si>
  <si>
    <t>Chicago Title/Commonawealth Land Title/Fidelity National Title</t>
  </si>
  <si>
    <t>6840 Carothers Parkway</t>
  </si>
  <si>
    <t>Suite 200</t>
  </si>
  <si>
    <t>Franklin, TN 37067</t>
  </si>
  <si>
    <t>P:  615-224-7400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</si>
</sst>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Arial"/>
      <family val="2"/>
    </font>
    <font>
      <b/>
      <sz val="16"/>
      <color theme="0"/>
      <name val="Arial"/>
      <family val="2"/>
    </font>
    <font>
      <sz val="13"/>
      <color theme="0"/>
      <name val="Arial"/>
      <family val="2"/>
    </font>
    <font>
      <i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2"/>
      <color rgb="FFDDCB2D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0"/>
      <name val="Arial"/>
      <family val="2"/>
    </font>
    <font>
      <i/>
      <sz val="11.5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rgb="FF000090"/>
      <name val="Arial"/>
      <family val="2"/>
    </font>
    <font>
      <sz val="12"/>
      <color rgb="FF000090"/>
      <name val="Times New Roman"/>
      <family val="1"/>
    </font>
    <font>
      <u/>
      <sz val="14"/>
      <color rgb="FF00009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DDCB2D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3A517A"/>
        <bgColor indexed="64"/>
      </patternFill>
    </fill>
    <fill>
      <patternFill patternType="solid">
        <fgColor rgb="FFAEB1BF"/>
        <bgColor indexed="64"/>
      </patternFill>
    </fill>
    <fill>
      <patternFill patternType="solid">
        <fgColor rgb="FFAEB1BF"/>
        <bgColor rgb="FF000000"/>
      </patternFill>
    </fill>
    <fill>
      <patternFill patternType="solid">
        <fgColor rgb="FF2B3F63"/>
        <bgColor indexed="64"/>
      </patternFill>
    </fill>
    <fill>
      <patternFill patternType="solid">
        <fgColor rgb="FF2B3F63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DD02D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4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32" fillId="0" borderId="0" applyFont="0" applyFill="0" applyBorder="0" applyAlignment="0" applyProtection="0"/>
  </cellStyleXfs>
  <cellXfs count="3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4" fontId="0" fillId="0" borderId="4" xfId="0" applyNumberFormat="1" applyBorder="1"/>
    <xf numFmtId="37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/>
    <xf numFmtId="0" fontId="9" fillId="0" borderId="8" xfId="0" applyFont="1" applyBorder="1"/>
    <xf numFmtId="0" fontId="9" fillId="0" borderId="1" xfId="0" applyFont="1" applyBorder="1"/>
    <xf numFmtId="37" fontId="0" fillId="0" borderId="8" xfId="0" applyNumberFormat="1" applyBorder="1"/>
    <xf numFmtId="0" fontId="9" fillId="0" borderId="0" xfId="0" applyFont="1" applyBorder="1"/>
    <xf numFmtId="0" fontId="9" fillId="0" borderId="5" xfId="0" applyFont="1" applyBorder="1"/>
    <xf numFmtId="0" fontId="0" fillId="0" borderId="0" xfId="0" applyFill="1" applyBorder="1"/>
    <xf numFmtId="44" fontId="0" fillId="0" borderId="0" xfId="0" applyNumberFormat="1" applyBorder="1"/>
    <xf numFmtId="0" fontId="0" fillId="0" borderId="5" xfId="0" applyFill="1" applyBorder="1"/>
    <xf numFmtId="0" fontId="0" fillId="0" borderId="8" xfId="0" applyBorder="1"/>
    <xf numFmtId="0" fontId="0" fillId="5" borderId="4" xfId="0" applyFill="1" applyBorder="1"/>
    <xf numFmtId="44" fontId="0" fillId="5" borderId="5" xfId="0" applyNumberFormat="1" applyFill="1" applyBorder="1"/>
    <xf numFmtId="0" fontId="0" fillId="5" borderId="0" xfId="0" applyFill="1"/>
    <xf numFmtId="0" fontId="0" fillId="7" borderId="0" xfId="0" applyFill="1" applyBorder="1"/>
    <xf numFmtId="44" fontId="0" fillId="7" borderId="0" xfId="0" applyNumberFormat="1" applyFill="1" applyBorder="1"/>
    <xf numFmtId="0" fontId="0" fillId="8" borderId="4" xfId="0" applyFill="1" applyBorder="1"/>
    <xf numFmtId="0" fontId="0" fillId="8" borderId="0" xfId="0" applyFill="1" applyBorder="1"/>
    <xf numFmtId="44" fontId="0" fillId="8" borderId="0" xfId="0" applyNumberFormat="1" applyFill="1" applyBorder="1"/>
    <xf numFmtId="0" fontId="0" fillId="8" borderId="5" xfId="0" applyFill="1" applyBorder="1"/>
    <xf numFmtId="0" fontId="0" fillId="8" borderId="0" xfId="0" applyFill="1" applyBorder="1" applyAlignment="1">
      <alignment horizontal="right"/>
    </xf>
    <xf numFmtId="7" fontId="0" fillId="8" borderId="0" xfId="0" applyNumberFormat="1" applyFill="1" applyBorder="1" applyAlignment="1"/>
    <xf numFmtId="7" fontId="0" fillId="8" borderId="0" xfId="0" applyNumberFormat="1" applyFill="1" applyBorder="1" applyAlignment="1">
      <alignment horizontal="left"/>
    </xf>
    <xf numFmtId="0" fontId="0" fillId="8" borderId="4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6" xfId="0" applyFill="1" applyBorder="1"/>
    <xf numFmtId="0" fontId="0" fillId="8" borderId="7" xfId="0" applyFill="1" applyBorder="1"/>
    <xf numFmtId="44" fontId="0" fillId="8" borderId="7" xfId="0" applyNumberFormat="1" applyFill="1" applyBorder="1"/>
    <xf numFmtId="0" fontId="0" fillId="8" borderId="8" xfId="0" applyFill="1" applyBorder="1"/>
    <xf numFmtId="44" fontId="0" fillId="8" borderId="5" xfId="0" applyNumberFormat="1" applyFill="1" applyBorder="1"/>
    <xf numFmtId="44" fontId="9" fillId="8" borderId="5" xfId="0" applyNumberFormat="1" applyFont="1" applyFill="1" applyBorder="1"/>
    <xf numFmtId="0" fontId="9" fillId="8" borderId="0" xfId="0" applyFont="1" applyFill="1" applyBorder="1"/>
    <xf numFmtId="44" fontId="9" fillId="8" borderId="0" xfId="0" applyNumberFormat="1" applyFont="1" applyFill="1" applyBorder="1"/>
    <xf numFmtId="0" fontId="9" fillId="8" borderId="0" xfId="0" applyFont="1" applyFill="1" applyBorder="1" applyAlignment="1">
      <alignment horizontal="left"/>
    </xf>
    <xf numFmtId="0" fontId="0" fillId="5" borderId="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/>
    <xf numFmtId="0" fontId="9" fillId="5" borderId="7" xfId="0" applyFont="1" applyFill="1" applyBorder="1"/>
    <xf numFmtId="44" fontId="9" fillId="5" borderId="7" xfId="0" applyNumberFormat="1" applyFont="1" applyFill="1" applyBorder="1"/>
    <xf numFmtId="0" fontId="9" fillId="5" borderId="7" xfId="0" applyFont="1" applyFill="1" applyBorder="1" applyAlignment="1">
      <alignment horizontal="left"/>
    </xf>
    <xf numFmtId="44" fontId="9" fillId="5" borderId="8" xfId="0" applyNumberFormat="1" applyFont="1" applyFill="1" applyBorder="1"/>
    <xf numFmtId="44" fontId="9" fillId="5" borderId="5" xfId="0" applyNumberFormat="1" applyFont="1" applyFill="1" applyBorder="1"/>
    <xf numFmtId="0" fontId="0" fillId="5" borderId="0" xfId="0" applyFill="1" applyBorder="1"/>
    <xf numFmtId="44" fontId="0" fillId="5" borderId="0" xfId="0" applyNumberFormat="1" applyFill="1" applyBorder="1"/>
    <xf numFmtId="0" fontId="0" fillId="5" borderId="5" xfId="0" applyFill="1" applyBorder="1"/>
    <xf numFmtId="9" fontId="0" fillId="5" borderId="0" xfId="0" applyNumberFormat="1" applyFill="1" applyBorder="1"/>
    <xf numFmtId="44" fontId="0" fillId="5" borderId="7" xfId="0" applyNumberFormat="1" applyFill="1" applyBorder="1"/>
    <xf numFmtId="0" fontId="0" fillId="5" borderId="7" xfId="0" applyFill="1" applyBorder="1"/>
    <xf numFmtId="0" fontId="0" fillId="5" borderId="8" xfId="0" applyFill="1" applyBorder="1"/>
    <xf numFmtId="0" fontId="13" fillId="5" borderId="9" xfId="0" applyFont="1" applyFill="1" applyBorder="1"/>
    <xf numFmtId="44" fontId="13" fillId="5" borderId="9" xfId="0" applyNumberFormat="1" applyFont="1" applyFill="1" applyBorder="1"/>
    <xf numFmtId="0" fontId="13" fillId="6" borderId="10" xfId="0" applyFont="1" applyFill="1" applyBorder="1"/>
    <xf numFmtId="44" fontId="13" fillId="6" borderId="10" xfId="0" applyNumberFormat="1" applyFont="1" applyFill="1" applyBorder="1"/>
    <xf numFmtId="0" fontId="13" fillId="5" borderId="11" xfId="0" applyFont="1" applyFill="1" applyBorder="1"/>
    <xf numFmtId="44" fontId="13" fillId="5" borderId="11" xfId="0" applyNumberFormat="1" applyFont="1" applyFill="1" applyBorder="1"/>
    <xf numFmtId="0" fontId="13" fillId="0" borderId="9" xfId="0" applyFont="1" applyBorder="1"/>
    <xf numFmtId="44" fontId="13" fillId="0" borderId="9" xfId="0" applyNumberFormat="1" applyFont="1" applyBorder="1"/>
    <xf numFmtId="0" fontId="13" fillId="6" borderId="11" xfId="0" applyFont="1" applyFill="1" applyBorder="1"/>
    <xf numFmtId="44" fontId="9" fillId="5" borderId="0" xfId="0" applyNumberFormat="1" applyFont="1" applyFill="1" applyBorder="1"/>
    <xf numFmtId="44" fontId="14" fillId="6" borderId="11" xfId="0" applyNumberFormat="1" applyFont="1" applyFill="1" applyBorder="1"/>
    <xf numFmtId="0" fontId="0" fillId="5" borderId="0" xfId="0" applyFill="1" applyAlignment="1">
      <alignment vertical="center"/>
    </xf>
    <xf numFmtId="0" fontId="0" fillId="7" borderId="4" xfId="0" applyFill="1" applyBorder="1"/>
    <xf numFmtId="0" fontId="0" fillId="7" borderId="6" xfId="0" applyFill="1" applyBorder="1"/>
    <xf numFmtId="0" fontId="0" fillId="7" borderId="7" xfId="0" applyFill="1" applyBorder="1"/>
    <xf numFmtId="44" fontId="0" fillId="7" borderId="7" xfId="0" applyNumberFormat="1" applyFill="1" applyBorder="1"/>
    <xf numFmtId="0" fontId="0" fillId="7" borderId="5" xfId="0" applyFill="1" applyBorder="1"/>
    <xf numFmtId="0" fontId="0" fillId="7" borderId="8" xfId="0" applyFill="1" applyBorder="1"/>
    <xf numFmtId="44" fontId="0" fillId="5" borderId="0" xfId="0" applyNumberFormat="1" applyFill="1"/>
    <xf numFmtId="0" fontId="10" fillId="5" borderId="4" xfId="0" applyFont="1" applyFill="1" applyBorder="1"/>
    <xf numFmtId="0" fontId="10" fillId="5" borderId="0" xfId="0" applyFont="1" applyFill="1" applyBorder="1"/>
    <xf numFmtId="0" fontId="10" fillId="5" borderId="5" xfId="0" applyFont="1" applyFill="1" applyBorder="1"/>
    <xf numFmtId="0" fontId="13" fillId="5" borderId="0" xfId="0" applyFont="1" applyFill="1" applyBorder="1"/>
    <xf numFmtId="0" fontId="9" fillId="9" borderId="6" xfId="0" applyFont="1" applyFill="1" applyBorder="1" applyAlignment="1">
      <alignment horizontal="right"/>
    </xf>
    <xf numFmtId="44" fontId="9" fillId="9" borderId="8" xfId="0" applyNumberFormat="1" applyFont="1" applyFill="1" applyBorder="1"/>
    <xf numFmtId="0" fontId="18" fillId="10" borderId="4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0" fillId="11" borderId="0" xfId="0" applyFill="1"/>
    <xf numFmtId="44" fontId="0" fillId="11" borderId="0" xfId="0" applyNumberFormat="1" applyFill="1"/>
    <xf numFmtId="0" fontId="0" fillId="11" borderId="0" xfId="0" applyFill="1" applyAlignment="1">
      <alignment vertical="center"/>
    </xf>
    <xf numFmtId="37" fontId="9" fillId="0" borderId="0" xfId="0" applyNumberFormat="1" applyFont="1" applyBorder="1"/>
    <xf numFmtId="37" fontId="9" fillId="0" borderId="7" xfId="0" applyNumberFormat="1" applyFont="1" applyBorder="1"/>
    <xf numFmtId="44" fontId="0" fillId="8" borderId="0" xfId="0" applyNumberFormat="1" applyFill="1" applyBorder="1" applyAlignment="1">
      <alignment horizontal="left"/>
    </xf>
    <xf numFmtId="7" fontId="0" fillId="0" borderId="4" xfId="0" applyNumberFormat="1" applyBorder="1"/>
    <xf numFmtId="44" fontId="0" fillId="2" borderId="12" xfId="0" applyNumberFormat="1" applyFill="1" applyBorder="1" applyAlignment="1" applyProtection="1">
      <protection locked="0"/>
    </xf>
    <xf numFmtId="44" fontId="0" fillId="2" borderId="12" xfId="0" applyNumberFormat="1" applyFill="1" applyBorder="1" applyProtection="1">
      <protection locked="0"/>
    </xf>
    <xf numFmtId="9" fontId="0" fillId="2" borderId="12" xfId="0" applyNumberFormat="1" applyFill="1" applyBorder="1" applyAlignment="1" applyProtection="1">
      <alignment horizontal="center"/>
      <protection locked="0"/>
    </xf>
    <xf numFmtId="0" fontId="0" fillId="11" borderId="0" xfId="0" applyFill="1" applyAlignment="1">
      <alignment horizontal="center" vertical="center"/>
    </xf>
    <xf numFmtId="0" fontId="0" fillId="11" borderId="0" xfId="0" applyFill="1" applyAlignment="1"/>
    <xf numFmtId="0" fontId="21" fillId="11" borderId="0" xfId="231" applyFont="1" applyFill="1" applyAlignment="1" applyProtection="1">
      <protection locked="0"/>
    </xf>
    <xf numFmtId="0" fontId="0" fillId="11" borderId="3" xfId="0" applyFont="1" applyFill="1" applyBorder="1"/>
    <xf numFmtId="0" fontId="0" fillId="11" borderId="0" xfId="0" applyFill="1" applyBorder="1"/>
    <xf numFmtId="44" fontId="0" fillId="11" borderId="0" xfId="0" applyNumberFormat="1" applyFill="1" applyBorder="1"/>
    <xf numFmtId="0" fontId="0" fillId="5" borderId="0" xfId="0" applyFill="1" applyProtection="1"/>
    <xf numFmtId="0" fontId="0" fillId="5" borderId="0" xfId="0" applyFill="1" applyAlignment="1" applyProtection="1">
      <alignment horizontal="center" vertical="center"/>
    </xf>
    <xf numFmtId="0" fontId="0" fillId="5" borderId="0" xfId="0" applyFill="1" applyAlignment="1" applyProtection="1">
      <alignment vertical="center"/>
    </xf>
    <xf numFmtId="0" fontId="0" fillId="8" borderId="4" xfId="0" applyFill="1" applyBorder="1" applyProtection="1"/>
    <xf numFmtId="0" fontId="0" fillId="8" borderId="0" xfId="0" applyFill="1" applyBorder="1" applyProtection="1"/>
    <xf numFmtId="0" fontId="0" fillId="8" borderId="0" xfId="0" applyFill="1" applyBorder="1" applyAlignment="1" applyProtection="1">
      <alignment horizontal="center" vertical="center"/>
    </xf>
    <xf numFmtId="0" fontId="0" fillId="8" borderId="5" xfId="0" applyFill="1" applyBorder="1" applyProtection="1"/>
    <xf numFmtId="0" fontId="0" fillId="6" borderId="4" xfId="0" applyFill="1" applyBorder="1" applyProtection="1"/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5" xfId="0" applyFill="1" applyBorder="1" applyProtection="1"/>
    <xf numFmtId="0" fontId="0" fillId="6" borderId="6" xfId="0" applyFill="1" applyBorder="1" applyProtection="1"/>
    <xf numFmtId="0" fontId="0" fillId="6" borderId="7" xfId="0" applyFill="1" applyBorder="1" applyProtection="1"/>
    <xf numFmtId="0" fontId="0" fillId="6" borderId="7" xfId="0" applyFill="1" applyBorder="1" applyAlignment="1" applyProtection="1">
      <alignment horizontal="center" vertical="center"/>
    </xf>
    <xf numFmtId="0" fontId="0" fillId="6" borderId="8" xfId="0" applyFill="1" applyBorder="1" applyProtection="1"/>
    <xf numFmtId="0" fontId="0" fillId="8" borderId="6" xfId="0" applyFill="1" applyBorder="1" applyProtection="1"/>
    <xf numFmtId="0" fontId="0" fillId="8" borderId="7" xfId="0" applyFill="1" applyBorder="1" applyProtection="1"/>
    <xf numFmtId="0" fontId="0" fillId="8" borderId="7" xfId="0" applyFill="1" applyBorder="1" applyAlignment="1" applyProtection="1">
      <alignment horizontal="center" vertical="center"/>
    </xf>
    <xf numFmtId="0" fontId="0" fillId="8" borderId="8" xfId="0" applyFill="1" applyBorder="1" applyProtection="1"/>
    <xf numFmtId="0" fontId="0" fillId="5" borderId="0" xfId="0" applyFill="1" applyAlignment="1">
      <alignment horizontal="center"/>
    </xf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0" xfId="0" applyFill="1" applyBorder="1" applyAlignment="1" applyProtection="1">
      <alignment horizontal="center" vertical="center"/>
    </xf>
    <xf numFmtId="0" fontId="0" fillId="5" borderId="5" xfId="0" applyFill="1" applyBorder="1" applyProtection="1"/>
    <xf numFmtId="0" fontId="0" fillId="5" borderId="4" xfId="0" applyFill="1" applyBorder="1" applyAlignment="1" applyProtection="1">
      <alignment vertical="center"/>
    </xf>
    <xf numFmtId="0" fontId="0" fillId="5" borderId="6" xfId="0" applyFill="1" applyBorder="1" applyProtection="1"/>
    <xf numFmtId="0" fontId="15" fillId="5" borderId="5" xfId="0" applyFont="1" applyFill="1" applyBorder="1" applyAlignment="1" applyProtection="1">
      <alignment horizontal="center" vertical="center"/>
    </xf>
    <xf numFmtId="0" fontId="0" fillId="5" borderId="8" xfId="0" applyFill="1" applyBorder="1" applyProtection="1"/>
    <xf numFmtId="0" fontId="0" fillId="8" borderId="0" xfId="0" applyFill="1"/>
    <xf numFmtId="37" fontId="0" fillId="0" borderId="0" xfId="0" applyNumberFormat="1" applyFill="1" applyBorder="1"/>
    <xf numFmtId="0" fontId="0" fillId="5" borderId="0" xfId="0" applyFill="1" applyAlignment="1"/>
    <xf numFmtId="0" fontId="0" fillId="5" borderId="0" xfId="0" applyFill="1" applyAlignment="1" applyProtection="1">
      <protection locked="0"/>
    </xf>
    <xf numFmtId="0" fontId="22" fillId="12" borderId="0" xfId="0" applyFont="1" applyFill="1" applyAlignment="1"/>
    <xf numFmtId="0" fontId="0" fillId="5" borderId="7" xfId="0" applyFill="1" applyBorder="1" applyProtection="1"/>
    <xf numFmtId="0" fontId="0" fillId="5" borderId="7" xfId="0" applyFill="1" applyBorder="1" applyAlignment="1" applyProtection="1">
      <alignment horizontal="center" vertical="center"/>
    </xf>
    <xf numFmtId="0" fontId="20" fillId="11" borderId="0" xfId="0" applyFont="1" applyFill="1" applyAlignment="1"/>
    <xf numFmtId="44" fontId="13" fillId="6" borderId="10" xfId="0" applyNumberFormat="1" applyFont="1" applyFill="1" applyBorder="1" applyProtection="1"/>
    <xf numFmtId="0" fontId="9" fillId="9" borderId="6" xfId="0" applyFont="1" applyFill="1" applyBorder="1" applyAlignment="1">
      <alignment horizontal="right"/>
    </xf>
    <xf numFmtId="39" fontId="0" fillId="0" borderId="0" xfId="0" applyNumberFormat="1" applyFill="1" applyBorder="1"/>
    <xf numFmtId="0" fontId="0" fillId="5" borderId="0" xfId="0" applyFont="1" applyFill="1" applyBorder="1"/>
    <xf numFmtId="0" fontId="0" fillId="0" borderId="0" xfId="0" applyBorder="1" applyAlignment="1">
      <alignment horizontal="center"/>
    </xf>
    <xf numFmtId="0" fontId="0" fillId="11" borderId="9" xfId="0" applyFont="1" applyFill="1" applyBorder="1"/>
    <xf numFmtId="0" fontId="0" fillId="0" borderId="10" xfId="0" applyBorder="1"/>
    <xf numFmtId="0" fontId="0" fillId="0" borderId="11" xfId="0" applyBorder="1"/>
    <xf numFmtId="0" fontId="0" fillId="6" borderId="13" xfId="0" applyFill="1" applyBorder="1"/>
    <xf numFmtId="0" fontId="0" fillId="6" borderId="15" xfId="0" applyFill="1" applyBorder="1"/>
    <xf numFmtId="0" fontId="0" fillId="6" borderId="14" xfId="0" applyFill="1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5" xfId="0" applyNumberFormat="1" applyBorder="1"/>
    <xf numFmtId="0" fontId="9" fillId="0" borderId="6" xfId="0" applyFont="1" applyBorder="1" applyAlignment="1">
      <alignment horizontal="right"/>
    </xf>
    <xf numFmtId="44" fontId="9" fillId="0" borderId="8" xfId="0" applyNumberFormat="1" applyFont="1" applyBorder="1"/>
    <xf numFmtId="0" fontId="9" fillId="0" borderId="6" xfId="0" applyFont="1" applyBorder="1" applyAlignment="1">
      <alignment horizontal="right"/>
    </xf>
    <xf numFmtId="0" fontId="25" fillId="5" borderId="0" xfId="0" applyFont="1" applyFill="1" applyBorder="1" applyAlignment="1"/>
    <xf numFmtId="0" fontId="26" fillId="5" borderId="0" xfId="0" applyFont="1" applyFill="1" applyBorder="1" applyAlignment="1"/>
    <xf numFmtId="0" fontId="26" fillId="15" borderId="13" xfId="0" applyFont="1" applyFill="1" applyBorder="1"/>
    <xf numFmtId="0" fontId="26" fillId="15" borderId="15" xfId="0" applyFont="1" applyFill="1" applyBorder="1"/>
    <xf numFmtId="0" fontId="26" fillId="15" borderId="14" xfId="0" applyFont="1" applyFill="1" applyBorder="1"/>
    <xf numFmtId="0" fontId="26" fillId="0" borderId="6" xfId="0" applyFont="1" applyBorder="1"/>
    <xf numFmtId="0" fontId="26" fillId="0" borderId="7" xfId="0" applyFont="1" applyBorder="1"/>
    <xf numFmtId="0" fontId="26" fillId="0" borderId="8" xfId="0" applyFont="1" applyBorder="1"/>
    <xf numFmtId="0" fontId="5" fillId="6" borderId="10" xfId="0" applyFont="1" applyFill="1" applyBorder="1"/>
    <xf numFmtId="0" fontId="0" fillId="8" borderId="0" xfId="0" applyFill="1" applyBorder="1" applyAlignment="1">
      <alignment horizontal="right"/>
    </xf>
    <xf numFmtId="0" fontId="12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left"/>
    </xf>
    <xf numFmtId="0" fontId="28" fillId="8" borderId="0" xfId="0" applyFont="1" applyFill="1" applyBorder="1"/>
    <xf numFmtId="0" fontId="12" fillId="8" borderId="0" xfId="0" applyFont="1" applyFill="1" applyBorder="1"/>
    <xf numFmtId="0" fontId="29" fillId="8" borderId="0" xfId="0" applyFont="1" applyFill="1" applyBorder="1"/>
    <xf numFmtId="44" fontId="29" fillId="8" borderId="0" xfId="0" applyNumberFormat="1" applyFont="1" applyFill="1" applyBorder="1" applyProtection="1"/>
    <xf numFmtId="44" fontId="0" fillId="8" borderId="0" xfId="0" applyNumberFormat="1" applyFill="1" applyBorder="1" applyProtection="1"/>
    <xf numFmtId="0" fontId="0" fillId="11" borderId="0" xfId="0" applyFill="1" applyAlignment="1" applyProtection="1">
      <protection locked="0"/>
    </xf>
    <xf numFmtId="0" fontId="0" fillId="11" borderId="0" xfId="0" applyFill="1" applyProtection="1">
      <protection locked="0"/>
    </xf>
    <xf numFmtId="0" fontId="4" fillId="6" borderId="10" xfId="0" applyFont="1" applyFill="1" applyBorder="1"/>
    <xf numFmtId="164" fontId="9" fillId="0" borderId="8" xfId="0" applyNumberFormat="1" applyFont="1" applyBorder="1"/>
    <xf numFmtId="164" fontId="9" fillId="0" borderId="0" xfId="0" applyNumberFormat="1" applyFont="1" applyBorder="1"/>
    <xf numFmtId="0" fontId="3" fillId="5" borderId="11" xfId="0" applyFont="1" applyFill="1" applyBorder="1"/>
    <xf numFmtId="0" fontId="13" fillId="0" borderId="3" xfId="0" applyFont="1" applyBorder="1" applyAlignment="1">
      <alignment horizontal="left"/>
    </xf>
    <xf numFmtId="0" fontId="0" fillId="8" borderId="0" xfId="0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/>
    </xf>
    <xf numFmtId="0" fontId="20" fillId="11" borderId="0" xfId="0" applyFont="1" applyFill="1" applyAlignment="1">
      <alignment horizontal="right"/>
    </xf>
    <xf numFmtId="0" fontId="0" fillId="8" borderId="0" xfId="0" applyFill="1" applyBorder="1" applyAlignment="1">
      <alignment horizontal="right"/>
    </xf>
    <xf numFmtId="0" fontId="13" fillId="6" borderId="4" xfId="0" applyFont="1" applyFill="1" applyBorder="1" applyAlignment="1">
      <alignment horizontal="left"/>
    </xf>
    <xf numFmtId="44" fontId="0" fillId="16" borderId="12" xfId="0" applyNumberFormat="1" applyFill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Alignment="1">
      <alignment horizontal="left"/>
    </xf>
    <xf numFmtId="44" fontId="13" fillId="6" borderId="5" xfId="0" applyNumberFormat="1" applyFont="1" applyFill="1" applyBorder="1"/>
    <xf numFmtId="0" fontId="20" fillId="11" borderId="0" xfId="0" applyFont="1" applyFill="1" applyAlignment="1">
      <alignment horizontal="left"/>
    </xf>
    <xf numFmtId="0" fontId="2" fillId="6" borderId="10" xfId="0" applyFont="1" applyFill="1" applyBorder="1"/>
    <xf numFmtId="0" fontId="0" fillId="0" borderId="0" xfId="0" applyFont="1" applyBorder="1"/>
    <xf numFmtId="37" fontId="0" fillId="0" borderId="0" xfId="0" applyNumberFormat="1" applyFont="1" applyBorder="1"/>
    <xf numFmtId="0" fontId="9" fillId="0" borderId="2" xfId="0" applyFont="1" applyBorder="1"/>
    <xf numFmtId="0" fontId="9" fillId="0" borderId="3" xfId="0" applyFont="1" applyBorder="1"/>
    <xf numFmtId="0" fontId="0" fillId="0" borderId="5" xfId="0" applyFont="1" applyBorder="1"/>
    <xf numFmtId="44" fontId="0" fillId="0" borderId="4" xfId="247" applyFont="1" applyBorder="1"/>
    <xf numFmtId="2" fontId="9" fillId="0" borderId="5" xfId="0" applyNumberFormat="1" applyFont="1" applyBorder="1"/>
    <xf numFmtId="2" fontId="9" fillId="0" borderId="0" xfId="0" applyNumberFormat="1" applyFont="1" applyBorder="1"/>
    <xf numFmtId="2" fontId="9" fillId="0" borderId="7" xfId="0" applyNumberFormat="1" applyFont="1" applyBorder="1"/>
    <xf numFmtId="44" fontId="0" fillId="16" borderId="12" xfId="247" applyFont="1" applyFill="1" applyBorder="1" applyProtection="1">
      <protection locked="0"/>
    </xf>
    <xf numFmtId="44" fontId="33" fillId="16" borderId="12" xfId="247" applyFont="1" applyFill="1" applyBorder="1" applyProtection="1">
      <protection locked="0"/>
    </xf>
    <xf numFmtId="0" fontId="0" fillId="5" borderId="0" xfId="0" applyFill="1" applyBorder="1" applyAlignment="1">
      <alignment horizontal="right"/>
    </xf>
    <xf numFmtId="0" fontId="9" fillId="9" borderId="6" xfId="0" applyFont="1" applyFill="1" applyBorder="1" applyAlignment="1">
      <alignment horizontal="right"/>
    </xf>
    <xf numFmtId="0" fontId="12" fillId="9" borderId="15" xfId="0" applyFont="1" applyFill="1" applyBorder="1" applyAlignment="1">
      <alignment horizontal="center"/>
    </xf>
    <xf numFmtId="0" fontId="0" fillId="8" borderId="0" xfId="0" applyFill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6" borderId="6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center"/>
    </xf>
    <xf numFmtId="0" fontId="0" fillId="5" borderId="0" xfId="0" applyFill="1" applyBorder="1" applyAlignment="1">
      <alignment horizontal="right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44" fontId="9" fillId="6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right"/>
    </xf>
    <xf numFmtId="0" fontId="0" fillId="0" borderId="4" xfId="0" applyFill="1" applyBorder="1"/>
    <xf numFmtId="44" fontId="9" fillId="0" borderId="5" xfId="0" applyNumberFormat="1" applyFont="1" applyFill="1" applyBorder="1"/>
    <xf numFmtId="0" fontId="9" fillId="9" borderId="13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9" borderId="15" xfId="0" applyFont="1" applyFill="1" applyBorder="1" applyAlignment="1">
      <alignment horizontal="center"/>
    </xf>
    <xf numFmtId="44" fontId="9" fillId="5" borderId="7" xfId="0" applyNumberFormat="1" applyFont="1" applyFill="1" applyBorder="1" applyAlignment="1">
      <alignment horizontal="right"/>
    </xf>
    <xf numFmtId="44" fontId="0" fillId="5" borderId="7" xfId="0" applyNumberFormat="1" applyFont="1" applyFill="1" applyBorder="1" applyAlignment="1">
      <alignment horizontal="right"/>
    </xf>
    <xf numFmtId="44" fontId="0" fillId="5" borderId="0" xfId="0" applyNumberFormat="1" applyFont="1" applyFill="1" applyBorder="1" applyAlignment="1">
      <alignment horizontal="left"/>
    </xf>
    <xf numFmtId="44" fontId="0" fillId="6" borderId="0" xfId="0" applyNumberFormat="1" applyFont="1" applyFill="1" applyBorder="1" applyAlignment="1">
      <alignment horizontal="left"/>
    </xf>
    <xf numFmtId="44" fontId="0" fillId="5" borderId="0" xfId="0" applyNumberFormat="1" applyFont="1" applyFill="1" applyBorder="1" applyAlignment="1">
      <alignment horizontal="right"/>
    </xf>
    <xf numFmtId="44" fontId="0" fillId="6" borderId="0" xfId="0" applyNumberFormat="1" applyFont="1" applyFill="1" applyBorder="1" applyAlignment="1">
      <alignment horizontal="right"/>
    </xf>
    <xf numFmtId="44" fontId="9" fillId="5" borderId="5" xfId="0" applyNumberFormat="1" applyFont="1" applyFill="1" applyBorder="1" applyAlignment="1">
      <alignment horizontal="right"/>
    </xf>
    <xf numFmtId="44" fontId="9" fillId="6" borderId="5" xfId="0" applyNumberFormat="1" applyFont="1" applyFill="1" applyBorder="1" applyAlignment="1">
      <alignment horizontal="right"/>
    </xf>
    <xf numFmtId="44" fontId="9" fillId="5" borderId="8" xfId="0" applyNumberFormat="1" applyFont="1" applyFill="1" applyBorder="1" applyAlignment="1">
      <alignment horizontal="right"/>
    </xf>
    <xf numFmtId="0" fontId="1" fillId="8" borderId="7" xfId="0" applyFont="1" applyFill="1" applyBorder="1" applyAlignment="1">
      <alignment horizontal="right"/>
    </xf>
    <xf numFmtId="44" fontId="9" fillId="8" borderId="7" xfId="0" applyNumberFormat="1" applyFont="1" applyFill="1" applyBorder="1"/>
    <xf numFmtId="0" fontId="9" fillId="8" borderId="7" xfId="0" applyFont="1" applyFill="1" applyBorder="1" applyAlignment="1">
      <alignment horizontal="left"/>
    </xf>
    <xf numFmtId="44" fontId="29" fillId="5" borderId="0" xfId="0" applyNumberFormat="1" applyFont="1" applyFill="1" applyBorder="1"/>
    <xf numFmtId="0" fontId="34" fillId="5" borderId="0" xfId="0" applyFont="1" applyFill="1" applyBorder="1"/>
    <xf numFmtId="44" fontId="35" fillId="5" borderId="0" xfId="0" applyNumberFormat="1" applyFont="1" applyFill="1" applyBorder="1"/>
    <xf numFmtId="0" fontId="34" fillId="5" borderId="0" xfId="0" applyFont="1" applyFill="1" applyBorder="1" applyAlignment="1">
      <alignment horizontal="left"/>
    </xf>
    <xf numFmtId="44" fontId="0" fillId="5" borderId="8" xfId="0" applyNumberFormat="1" applyFill="1" applyBorder="1"/>
    <xf numFmtId="44" fontId="13" fillId="0" borderId="5" xfId="0" applyNumberFormat="1" applyFont="1" applyBorder="1"/>
    <xf numFmtId="44" fontId="14" fillId="6" borderId="8" xfId="0" applyNumberFormat="1" applyFont="1" applyFill="1" applyBorder="1"/>
    <xf numFmtId="0" fontId="34" fillId="5" borderId="7" xfId="0" applyFont="1" applyFill="1" applyBorder="1"/>
    <xf numFmtId="44" fontId="35" fillId="5" borderId="7" xfId="0" applyNumberFormat="1" applyFont="1" applyFill="1" applyBorder="1"/>
    <xf numFmtId="44" fontId="29" fillId="5" borderId="7" xfId="0" applyNumberFormat="1" applyFont="1" applyFill="1" applyBorder="1"/>
    <xf numFmtId="0" fontId="34" fillId="5" borderId="7" xfId="0" applyFont="1" applyFill="1" applyBorder="1" applyAlignment="1">
      <alignment horizontal="left"/>
    </xf>
    <xf numFmtId="0" fontId="13" fillId="0" borderId="0" xfId="0" applyFont="1" applyFill="1" applyBorder="1"/>
    <xf numFmtId="44" fontId="14" fillId="0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0" fontId="13" fillId="0" borderId="7" xfId="0" applyFont="1" applyFill="1" applyBorder="1"/>
    <xf numFmtId="44" fontId="14" fillId="0" borderId="7" xfId="0" applyNumberFormat="1" applyFont="1" applyFill="1" applyBorder="1"/>
    <xf numFmtId="0" fontId="0" fillId="0" borderId="7" xfId="0" applyFill="1" applyBorder="1"/>
    <xf numFmtId="0" fontId="13" fillId="0" borderId="7" xfId="0" applyFont="1" applyFill="1" applyBorder="1" applyAlignment="1">
      <alignment horizontal="left"/>
    </xf>
    <xf numFmtId="44" fontId="0" fillId="0" borderId="0" xfId="0" applyNumberFormat="1" applyFill="1" applyBorder="1"/>
    <xf numFmtId="0" fontId="13" fillId="0" borderId="4" xfId="0" applyFont="1" applyBorder="1"/>
    <xf numFmtId="0" fontId="13" fillId="6" borderId="6" xfId="0" applyFont="1" applyFill="1" applyBorder="1"/>
    <xf numFmtId="44" fontId="0" fillId="0" borderId="7" xfId="0" applyNumberFormat="1" applyFill="1" applyBorder="1"/>
    <xf numFmtId="0" fontId="12" fillId="9" borderId="15" xfId="0" applyFont="1" applyFill="1" applyBorder="1" applyAlignment="1">
      <alignment horizontal="right"/>
    </xf>
    <xf numFmtId="0" fontId="13" fillId="8" borderId="0" xfId="0" applyFont="1" applyFill="1" applyBorder="1"/>
    <xf numFmtId="44" fontId="14" fillId="8" borderId="0" xfId="0" applyNumberFormat="1" applyFont="1" applyFill="1" applyBorder="1"/>
    <xf numFmtId="0" fontId="13" fillId="8" borderId="0" xfId="0" applyFont="1" applyFill="1" applyBorder="1" applyAlignment="1">
      <alignment horizontal="left"/>
    </xf>
    <xf numFmtId="44" fontId="0" fillId="5" borderId="0" xfId="0" applyNumberFormat="1" applyFont="1" applyFill="1" applyBorder="1" applyAlignment="1"/>
    <xf numFmtId="44" fontId="0" fillId="6" borderId="0" xfId="0" applyNumberFormat="1" applyFont="1" applyFill="1" applyBorder="1" applyAlignment="1"/>
    <xf numFmtId="44" fontId="0" fillId="5" borderId="7" xfId="0" applyNumberFormat="1" applyFont="1" applyFill="1" applyBorder="1" applyAlignment="1"/>
    <xf numFmtId="0" fontId="10" fillId="13" borderId="1" xfId="0" applyFont="1" applyFill="1" applyBorder="1" applyAlignment="1">
      <alignment horizontal="center"/>
    </xf>
    <xf numFmtId="0" fontId="10" fillId="13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11" borderId="0" xfId="23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5" fillId="10" borderId="4" xfId="0" applyFont="1" applyFill="1" applyBorder="1" applyAlignment="1" applyProtection="1">
      <alignment horizontal="center" vertical="center"/>
    </xf>
    <xf numFmtId="0" fontId="15" fillId="10" borderId="0" xfId="0" applyFont="1" applyFill="1" applyBorder="1" applyAlignment="1" applyProtection="1">
      <alignment horizontal="center" vertical="center"/>
    </xf>
    <xf numFmtId="0" fontId="15" fillId="10" borderId="5" xfId="0" applyFont="1" applyFill="1" applyBorder="1" applyAlignment="1" applyProtection="1">
      <alignment horizontal="center" vertical="center"/>
    </xf>
    <xf numFmtId="0" fontId="15" fillId="10" borderId="1" xfId="0" applyFont="1" applyFill="1" applyBorder="1" applyAlignment="1" applyProtection="1">
      <alignment horizontal="center" vertical="center"/>
    </xf>
    <xf numFmtId="0" fontId="15" fillId="10" borderId="2" xfId="0" applyFont="1" applyFill="1" applyBorder="1" applyAlignment="1" applyProtection="1">
      <alignment horizontal="center" vertical="center"/>
    </xf>
    <xf numFmtId="0" fontId="15" fillId="10" borderId="3" xfId="0" applyFont="1" applyFill="1" applyBorder="1" applyAlignment="1" applyProtection="1">
      <alignment horizontal="center" vertical="center"/>
    </xf>
    <xf numFmtId="0" fontId="6" fillId="2" borderId="16" xfId="231" applyFill="1" applyBorder="1" applyAlignment="1" applyProtection="1">
      <alignment horizontal="center" vertical="center" wrapText="1"/>
      <protection locked="0"/>
    </xf>
    <xf numFmtId="0" fontId="6" fillId="2" borderId="17" xfId="23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/>
    </xf>
    <xf numFmtId="0" fontId="20" fillId="3" borderId="2" xfId="0" applyFont="1" applyFill="1" applyBorder="1" applyAlignment="1" applyProtection="1">
      <alignment horizontal="center"/>
    </xf>
    <xf numFmtId="0" fontId="20" fillId="3" borderId="3" xfId="0" applyFont="1" applyFill="1" applyBorder="1" applyAlignment="1" applyProtection="1">
      <alignment horizontal="center"/>
    </xf>
    <xf numFmtId="0" fontId="6" fillId="2" borderId="16" xfId="231" applyFill="1" applyBorder="1" applyAlignment="1" applyProtection="1">
      <alignment horizontal="center" vertical="center"/>
      <protection locked="0"/>
    </xf>
    <xf numFmtId="0" fontId="6" fillId="2" borderId="17" xfId="23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right" vertical="top"/>
    </xf>
    <xf numFmtId="0" fontId="24" fillId="11" borderId="0" xfId="231" applyFont="1" applyFill="1" applyAlignment="1" applyProtection="1">
      <alignment horizontal="left" vertical="top" wrapText="1"/>
      <protection locked="0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/>
    </xf>
    <xf numFmtId="0" fontId="1" fillId="5" borderId="5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5" borderId="6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22" fillId="12" borderId="0" xfId="0" applyFont="1" applyFill="1" applyAlignment="1">
      <alignment horizontal="right"/>
    </xf>
    <xf numFmtId="0" fontId="30" fillId="12" borderId="0" xfId="231" applyFont="1" applyFill="1" applyAlignment="1" applyProtection="1">
      <alignment horizontal="left"/>
      <protection locked="0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6" borderId="6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3" fillId="5" borderId="6" xfId="0" applyFont="1" applyFill="1" applyBorder="1" applyAlignment="1">
      <alignment horizontal="left"/>
    </xf>
    <xf numFmtId="0" fontId="13" fillId="5" borderId="8" xfId="0" applyFont="1" applyFill="1" applyBorder="1" applyAlignment="1">
      <alignment horizontal="left"/>
    </xf>
    <xf numFmtId="0" fontId="9" fillId="9" borderId="13" xfId="0" applyFont="1" applyFill="1" applyBorder="1" applyAlignment="1">
      <alignment horizontal="right"/>
    </xf>
    <xf numFmtId="0" fontId="9" fillId="9" borderId="15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5" fillId="6" borderId="4" xfId="0" applyFont="1" applyFill="1" applyBorder="1" applyAlignment="1">
      <alignment horizontal="left"/>
    </xf>
    <xf numFmtId="0" fontId="13" fillId="6" borderId="5" xfId="0" applyFont="1" applyFill="1" applyBorder="1" applyAlignment="1">
      <alignment horizontal="left"/>
    </xf>
    <xf numFmtId="0" fontId="13" fillId="5" borderId="6" xfId="0" applyNumberFormat="1" applyFont="1" applyFill="1" applyBorder="1" applyAlignment="1">
      <alignment horizontal="left"/>
    </xf>
    <xf numFmtId="0" fontId="13" fillId="5" borderId="8" xfId="0" applyNumberFormat="1" applyFont="1" applyFill="1" applyBorder="1" applyAlignment="1">
      <alignment horizontal="left"/>
    </xf>
    <xf numFmtId="0" fontId="9" fillId="9" borderId="6" xfId="0" applyFont="1" applyFill="1" applyBorder="1" applyAlignment="1">
      <alignment horizontal="right"/>
    </xf>
    <xf numFmtId="0" fontId="9" fillId="9" borderId="7" xfId="0" applyFont="1" applyFill="1" applyBorder="1" applyAlignment="1">
      <alignment horizontal="right"/>
    </xf>
    <xf numFmtId="0" fontId="13" fillId="5" borderId="1" xfId="0" applyFont="1" applyFill="1" applyBorder="1" applyAlignment="1">
      <alignment horizontal="left"/>
    </xf>
    <xf numFmtId="0" fontId="13" fillId="5" borderId="3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0" fontId="15" fillId="10" borderId="5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horizontal="center" vertical="center"/>
    </xf>
    <xf numFmtId="0" fontId="27" fillId="10" borderId="5" xfId="0" applyFont="1" applyFill="1" applyBorder="1" applyAlignment="1">
      <alignment horizontal="center" vertical="center"/>
    </xf>
    <xf numFmtId="0" fontId="0" fillId="8" borderId="0" xfId="0" applyFill="1" applyAlignment="1">
      <alignment horizontal="right"/>
    </xf>
    <xf numFmtId="0" fontId="0" fillId="8" borderId="4" xfId="0" applyFill="1" applyBorder="1" applyAlignment="1">
      <alignment horizontal="right"/>
    </xf>
    <xf numFmtId="0" fontId="0" fillId="8" borderId="0" xfId="0" applyFill="1" applyBorder="1" applyAlignment="1">
      <alignment horizontal="right"/>
    </xf>
    <xf numFmtId="0" fontId="12" fillId="9" borderId="1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9" fontId="12" fillId="9" borderId="1" xfId="0" applyNumberFormat="1" applyFont="1" applyFill="1" applyBorder="1" applyAlignment="1">
      <alignment horizontal="center"/>
    </xf>
    <xf numFmtId="9" fontId="12" fillId="9" borderId="2" xfId="0" applyNumberFormat="1" applyFont="1" applyFill="1" applyBorder="1" applyAlignment="1">
      <alignment horizontal="center"/>
    </xf>
    <xf numFmtId="9" fontId="12" fillId="9" borderId="3" xfId="0" applyNumberFormat="1" applyFont="1" applyFill="1" applyBorder="1" applyAlignment="1">
      <alignment horizontal="center"/>
    </xf>
    <xf numFmtId="0" fontId="12" fillId="9" borderId="13" xfId="0" applyFont="1" applyFill="1" applyBorder="1" applyAlignment="1">
      <alignment horizontal="center"/>
    </xf>
    <xf numFmtId="0" fontId="12" fillId="9" borderId="14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29" fillId="8" borderId="0" xfId="0" applyFont="1" applyFill="1" applyBorder="1" applyAlignment="1">
      <alignment horizontal="right"/>
    </xf>
    <xf numFmtId="0" fontId="2" fillId="6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9" fontId="12" fillId="9" borderId="13" xfId="0" applyNumberFormat="1" applyFont="1" applyFill="1" applyBorder="1" applyAlignment="1">
      <alignment horizontal="center"/>
    </xf>
    <xf numFmtId="9" fontId="12" fillId="9" borderId="15" xfId="0" applyNumberFormat="1" applyFont="1" applyFill="1" applyBorder="1" applyAlignment="1">
      <alignment horizontal="center"/>
    </xf>
    <xf numFmtId="9" fontId="12" fillId="9" borderId="14" xfId="0" applyNumberFormat="1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5" fillId="14" borderId="1" xfId="0" applyFont="1" applyFill="1" applyBorder="1" applyAlignment="1">
      <alignment horizontal="center"/>
    </xf>
    <xf numFmtId="0" fontId="25" fillId="14" borderId="2" xfId="0" applyFont="1" applyFill="1" applyBorder="1" applyAlignment="1">
      <alignment horizontal="center"/>
    </xf>
    <xf numFmtId="0" fontId="25" fillId="14" borderId="3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4" fillId="6" borderId="4" xfId="0" applyFont="1" applyFill="1" applyBorder="1" applyAlignment="1">
      <alignment horizontal="left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4" xfId="0" applyNumberFormat="1" applyBorder="1" applyAlignment="1">
      <alignment horizontal="left"/>
    </xf>
    <xf numFmtId="44" fontId="0" fillId="0" borderId="0" xfId="0" applyNumberForma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6" borderId="7" xfId="0" applyFont="1" applyFill="1" applyBorder="1" applyAlignment="1">
      <alignment horizontal="left"/>
    </xf>
    <xf numFmtId="0" fontId="20" fillId="11" borderId="0" xfId="0" applyFont="1" applyFill="1" applyAlignment="1">
      <alignment horizontal="right"/>
    </xf>
    <xf numFmtId="0" fontId="30" fillId="11" borderId="0" xfId="231" applyFont="1" applyFill="1" applyAlignment="1" applyProtection="1">
      <alignment horizontal="left"/>
      <protection locked="0"/>
    </xf>
    <xf numFmtId="0" fontId="36" fillId="5" borderId="0" xfId="0" applyFont="1" applyFill="1" applyBorder="1" applyAlignment="1" applyProtection="1"/>
    <xf numFmtId="0" fontId="36" fillId="5" borderId="0" xfId="0" applyFont="1" applyFill="1" applyBorder="1" applyAlignment="1" applyProtection="1">
      <alignment horizontal="left"/>
    </xf>
    <xf numFmtId="0" fontId="37" fillId="5" borderId="0" xfId="0" applyFont="1" applyFill="1" applyBorder="1" applyAlignment="1" applyProtection="1">
      <alignment horizontal="center"/>
    </xf>
    <xf numFmtId="0" fontId="36" fillId="5" borderId="0" xfId="0" applyFont="1" applyFill="1" applyBorder="1" applyAlignment="1" applyProtection="1">
      <alignment horizontal="right"/>
    </xf>
    <xf numFmtId="0" fontId="38" fillId="5" borderId="0" xfId="0" applyFont="1" applyFill="1" applyBorder="1" applyAlignment="1" applyProtection="1">
      <alignment horizontal="center"/>
    </xf>
  </cellXfs>
  <cellStyles count="248">
    <cellStyle name="Currency" xfId="247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/>
    <cellStyle name="Normal" xfId="0" builtinId="0"/>
  </cellStyles>
  <dxfs count="0"/>
  <tableStyles count="0" defaultTableStyle="TableStyleMedium9" defaultPivotStyle="PivotStyleMedium4"/>
  <colors>
    <mruColors>
      <color rgb="FFDDD02D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394965</xdr:colOff>
      <xdr:row>2</xdr:row>
      <xdr:rowOff>56446</xdr:rowOff>
    </xdr:from>
    <xdr:to>
      <xdr:col>7</xdr:col>
      <xdr:colOff>1367875</xdr:colOff>
      <xdr:row>3</xdr:row>
      <xdr:rowOff>1694564</xdr:rowOff>
    </xdr:to>
    <xdr:pic>
      <xdr:nvPicPr>
        <xdr:cNvPr id="11" name="Picture 10" descr="FNTG Logo GIF from letterhead envelope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930" y="344411"/>
          <a:ext cx="3021893" cy="1837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71120</xdr:rowOff>
    </xdr:from>
    <xdr:to>
      <xdr:col>5</xdr:col>
      <xdr:colOff>10160</xdr:colOff>
      <xdr:row>2</xdr:row>
      <xdr:rowOff>38608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34620" y="71120"/>
          <a:ext cx="320040" cy="246888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0</xdr:row>
      <xdr:rowOff>71120</xdr:rowOff>
    </xdr:from>
    <xdr:to>
      <xdr:col>5</xdr:col>
      <xdr:colOff>10160</xdr:colOff>
      <xdr:row>2</xdr:row>
      <xdr:rowOff>38608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34620" y="71120"/>
          <a:ext cx="320040" cy="246888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</xdr:colOff>
      <xdr:row>0</xdr:row>
      <xdr:rowOff>76200</xdr:rowOff>
    </xdr:from>
    <xdr:to>
      <xdr:col>4</xdr:col>
      <xdr:colOff>86360</xdr:colOff>
      <xdr:row>2</xdr:row>
      <xdr:rowOff>43688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21920" y="76200"/>
          <a:ext cx="320040" cy="246888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5</xdr:col>
      <xdr:colOff>0</xdr:colOff>
      <xdr:row>2</xdr:row>
      <xdr:rowOff>38100</xdr:rowOff>
    </xdr:to>
    <xdr:sp macro="" textlink="">
      <xdr:nvSpPr>
        <xdr:cNvPr id="7" name="Left Arrow 6">
          <a:hlinkClick xmlns:r="http://schemas.openxmlformats.org/officeDocument/2006/relationships" r:id="rId1"/>
        </xdr:cNvPr>
        <xdr:cNvSpPr/>
      </xdr:nvSpPr>
      <xdr:spPr>
        <a:xfrm>
          <a:off x="127000" y="76200"/>
          <a:ext cx="317500" cy="241300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ratecalculator.fnf.com/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://ratecalculator.fnf.com/" TargetMode="External"/><Relationship Id="rId7" Type="http://schemas.openxmlformats.org/officeDocument/2006/relationships/hyperlink" Target="http://ratecalculator.fnf.com/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://ratecalculator.fnf.com/" TargetMode="External"/><Relationship Id="rId1" Type="http://schemas.openxmlformats.org/officeDocument/2006/relationships/hyperlink" Target="http://ratecalculator.fnf.com/" TargetMode="External"/><Relationship Id="rId6" Type="http://schemas.openxmlformats.org/officeDocument/2006/relationships/hyperlink" Target="http://ratecalculator.fnf.com/" TargetMode="External"/><Relationship Id="rId11" Type="http://schemas.openxmlformats.org/officeDocument/2006/relationships/hyperlink" Target="http://ratecalculator.fnf.com/" TargetMode="External"/><Relationship Id="rId5" Type="http://schemas.openxmlformats.org/officeDocument/2006/relationships/hyperlink" Target="http://ratecalculator.fnf.com/" TargetMode="External"/><Relationship Id="rId10" Type="http://schemas.openxmlformats.org/officeDocument/2006/relationships/hyperlink" Target="http://ratecalculator.fnf.com/" TargetMode="External"/><Relationship Id="rId4" Type="http://schemas.openxmlformats.org/officeDocument/2006/relationships/hyperlink" Target="http://ratecalculator.fnf.com/" TargetMode="External"/><Relationship Id="rId9" Type="http://schemas.openxmlformats.org/officeDocument/2006/relationships/hyperlink" Target="http://ratecalculator.fnf.com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ratecalculator.fnf.com/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://ratecalculator.fnf.com/" TargetMode="External"/><Relationship Id="rId7" Type="http://schemas.openxmlformats.org/officeDocument/2006/relationships/hyperlink" Target="http://ratecalculator.fnf.com/" TargetMode="External"/><Relationship Id="rId12" Type="http://schemas.openxmlformats.org/officeDocument/2006/relationships/printerSettings" Target="../printerSettings/printerSettings5.bin"/><Relationship Id="rId2" Type="http://schemas.openxmlformats.org/officeDocument/2006/relationships/hyperlink" Target="http://ratecalculator.fnf.com/" TargetMode="External"/><Relationship Id="rId1" Type="http://schemas.openxmlformats.org/officeDocument/2006/relationships/hyperlink" Target="http://ratecalculator.fnf.com/" TargetMode="External"/><Relationship Id="rId6" Type="http://schemas.openxmlformats.org/officeDocument/2006/relationships/hyperlink" Target="http://ratecalculator.fnf.com/" TargetMode="External"/><Relationship Id="rId11" Type="http://schemas.openxmlformats.org/officeDocument/2006/relationships/hyperlink" Target="http://ratecalculator.fnf.com/" TargetMode="External"/><Relationship Id="rId5" Type="http://schemas.openxmlformats.org/officeDocument/2006/relationships/hyperlink" Target="http://ratecalculator.fnf.com/" TargetMode="External"/><Relationship Id="rId10" Type="http://schemas.openxmlformats.org/officeDocument/2006/relationships/hyperlink" Target="http://ratecalculator.fnf.com/" TargetMode="External"/><Relationship Id="rId4" Type="http://schemas.openxmlformats.org/officeDocument/2006/relationships/hyperlink" Target="http://ratecalculator.fnf.com/" TargetMode="External"/><Relationship Id="rId9" Type="http://schemas.openxmlformats.org/officeDocument/2006/relationships/hyperlink" Target="http://ratecalculator.fnf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atecalculator.fnf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ratecalculator.fnf.com/" TargetMode="External"/><Relationship Id="rId3" Type="http://schemas.openxmlformats.org/officeDocument/2006/relationships/hyperlink" Target="http://ratecalculator.fnf.com/" TargetMode="External"/><Relationship Id="rId7" Type="http://schemas.openxmlformats.org/officeDocument/2006/relationships/hyperlink" Target="http://ratecalculator.fnf.com/" TargetMode="External"/><Relationship Id="rId2" Type="http://schemas.openxmlformats.org/officeDocument/2006/relationships/hyperlink" Target="http://ratecalculator.fnf.com/" TargetMode="External"/><Relationship Id="rId1" Type="http://schemas.openxmlformats.org/officeDocument/2006/relationships/hyperlink" Target="http://ratecalculator.fnf.com/" TargetMode="External"/><Relationship Id="rId6" Type="http://schemas.openxmlformats.org/officeDocument/2006/relationships/hyperlink" Target="http://ratecalculator.fnf.com/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ratecalculator.fnf.com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ratecalculator.fnf.com/" TargetMode="External"/><Relationship Id="rId9" Type="http://schemas.openxmlformats.org/officeDocument/2006/relationships/hyperlink" Target="http://ratecalculator.fnf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ratecalculator.fnf.com/" TargetMode="External"/><Relationship Id="rId13" Type="http://schemas.openxmlformats.org/officeDocument/2006/relationships/drawing" Target="../drawings/drawing3.xml"/><Relationship Id="rId3" Type="http://schemas.openxmlformats.org/officeDocument/2006/relationships/hyperlink" Target="http://ratecalculator.fnf.com/" TargetMode="External"/><Relationship Id="rId7" Type="http://schemas.openxmlformats.org/officeDocument/2006/relationships/hyperlink" Target="http://ratecalculator.fnf.com/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://ratecalculator.fnf.com/" TargetMode="External"/><Relationship Id="rId1" Type="http://schemas.openxmlformats.org/officeDocument/2006/relationships/hyperlink" Target="http://ratecalculator.fnf.com/" TargetMode="External"/><Relationship Id="rId6" Type="http://schemas.openxmlformats.org/officeDocument/2006/relationships/hyperlink" Target="http://ratecalculator.fnf.com/" TargetMode="External"/><Relationship Id="rId11" Type="http://schemas.openxmlformats.org/officeDocument/2006/relationships/hyperlink" Target="http://ratecalculator.fnf.com/" TargetMode="External"/><Relationship Id="rId5" Type="http://schemas.openxmlformats.org/officeDocument/2006/relationships/hyperlink" Target="http://ratecalculator.fnf.com/" TargetMode="External"/><Relationship Id="rId10" Type="http://schemas.openxmlformats.org/officeDocument/2006/relationships/hyperlink" Target="http://ratecalculator.fnf.com/" TargetMode="External"/><Relationship Id="rId4" Type="http://schemas.openxmlformats.org/officeDocument/2006/relationships/hyperlink" Target="http://ratecalculator.fnf.com/" TargetMode="External"/><Relationship Id="rId9" Type="http://schemas.openxmlformats.org/officeDocument/2006/relationships/hyperlink" Target="http://ratecalculator.fnf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5"/>
  <sheetViews>
    <sheetView workbookViewId="0">
      <selection activeCell="C10" sqref="C10"/>
    </sheetView>
  </sheetViews>
  <sheetFormatPr defaultColWidth="0" defaultRowHeight="15.75" zeroHeight="1" x14ac:dyDescent="0.25"/>
  <cols>
    <col min="1" max="1" width="1.125" style="23" customWidth="1"/>
    <col min="2" max="2" width="24.875" bestFit="1" customWidth="1"/>
    <col min="3" max="3" width="107" bestFit="1" customWidth="1"/>
    <col min="4" max="4" width="1.125" style="23" customWidth="1"/>
    <col min="5" max="16384" width="10.875" hidden="1"/>
  </cols>
  <sheetData>
    <row r="1" spans="2:3" s="23" customFormat="1" ht="6.95" customHeight="1" x14ac:dyDescent="0.25"/>
    <row r="2" spans="2:3" x14ac:dyDescent="0.25">
      <c r="B2" s="271" t="s">
        <v>124</v>
      </c>
      <c r="C2" s="272"/>
    </row>
    <row r="3" spans="2:3" x14ac:dyDescent="0.25">
      <c r="B3" s="273" t="s">
        <v>125</v>
      </c>
      <c r="C3" s="274"/>
    </row>
    <row r="4" spans="2:3" x14ac:dyDescent="0.25">
      <c r="B4" s="144" t="s">
        <v>111</v>
      </c>
      <c r="C4" s="100" t="s">
        <v>112</v>
      </c>
    </row>
    <row r="5" spans="2:3" x14ac:dyDescent="0.25">
      <c r="B5" s="145" t="s">
        <v>98</v>
      </c>
      <c r="C5" s="6" t="s">
        <v>99</v>
      </c>
    </row>
    <row r="6" spans="2:3" x14ac:dyDescent="0.25">
      <c r="B6" s="145" t="s">
        <v>100</v>
      </c>
      <c r="C6" s="6" t="s">
        <v>97</v>
      </c>
    </row>
    <row r="7" spans="2:3" x14ac:dyDescent="0.25">
      <c r="B7" s="145" t="s">
        <v>139</v>
      </c>
      <c r="C7" s="6" t="s">
        <v>142</v>
      </c>
    </row>
    <row r="8" spans="2:3" x14ac:dyDescent="0.25">
      <c r="B8" s="145" t="s">
        <v>140</v>
      </c>
      <c r="C8" s="6" t="s">
        <v>101</v>
      </c>
    </row>
    <row r="9" spans="2:3" x14ac:dyDescent="0.25">
      <c r="B9" s="145" t="s">
        <v>141</v>
      </c>
      <c r="C9" s="6" t="s">
        <v>143</v>
      </c>
    </row>
    <row r="10" spans="2:3" x14ac:dyDescent="0.25">
      <c r="B10" s="145" t="s">
        <v>102</v>
      </c>
      <c r="C10" s="6" t="s">
        <v>103</v>
      </c>
    </row>
    <row r="11" spans="2:3" x14ac:dyDescent="0.25">
      <c r="B11" s="145" t="s">
        <v>104</v>
      </c>
      <c r="C11" s="6" t="s">
        <v>105</v>
      </c>
    </row>
    <row r="12" spans="2:3" x14ac:dyDescent="0.25">
      <c r="B12" s="145" t="s">
        <v>106</v>
      </c>
      <c r="C12" s="6" t="s">
        <v>107</v>
      </c>
    </row>
    <row r="13" spans="2:3" x14ac:dyDescent="0.25">
      <c r="B13" s="145" t="s">
        <v>108</v>
      </c>
      <c r="C13" s="6" t="s">
        <v>101</v>
      </c>
    </row>
    <row r="14" spans="2:3" x14ac:dyDescent="0.25">
      <c r="B14" s="146" t="s">
        <v>109</v>
      </c>
      <c r="C14" s="20" t="s">
        <v>110</v>
      </c>
    </row>
    <row r="15" spans="2:3" s="23" customFormat="1" ht="6.95" customHeight="1" x14ac:dyDescent="0.25"/>
  </sheetData>
  <mergeCells count="2">
    <mergeCell ref="B2:C2"/>
    <mergeCell ref="B3:C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Z47"/>
  <sheetViews>
    <sheetView showGridLines="0" showRowColHeaders="0" zoomScale="78" zoomScaleNormal="78" zoomScalePageLayoutView="78" workbookViewId="0">
      <selection activeCell="I17" sqref="I17"/>
    </sheetView>
  </sheetViews>
  <sheetFormatPr defaultColWidth="10.875" defaultRowHeight="15.75" x14ac:dyDescent="0.25"/>
  <cols>
    <col min="1" max="1" width="1" style="87" customWidth="1"/>
    <col min="2" max="5" width="1.125" style="87" customWidth="1"/>
    <col min="6" max="6" width="32.375" style="87" customWidth="1"/>
    <col min="7" max="7" width="14.125" style="87" bestFit="1" customWidth="1"/>
    <col min="8" max="8" width="1.125" style="87" customWidth="1"/>
    <col min="9" max="9" width="15.5" style="87" customWidth="1"/>
    <col min="10" max="10" width="19.25" style="87" customWidth="1"/>
    <col min="11" max="11" width="12" style="87" bestFit="1" customWidth="1"/>
    <col min="12" max="13" width="1.125" style="87" customWidth="1"/>
    <col min="14" max="14" width="1.875" style="87" customWidth="1"/>
    <col min="15" max="16" width="1.125" style="87" customWidth="1"/>
    <col min="17" max="17" width="32.375" style="87" customWidth="1"/>
    <col min="18" max="18" width="12.5" style="87" bestFit="1" customWidth="1"/>
    <col min="19" max="19" width="1.125" style="87" customWidth="1"/>
    <col min="20" max="20" width="15.5" style="87" customWidth="1"/>
    <col min="21" max="21" width="16.375" style="87" customWidth="1"/>
    <col min="22" max="22" width="12" style="87" bestFit="1" customWidth="1"/>
    <col min="23" max="23" width="1.125" style="87" customWidth="1"/>
    <col min="24" max="24" width="1.875" style="87" customWidth="1"/>
    <col min="25" max="27" width="1.125" style="87" customWidth="1"/>
    <col min="28" max="16384" width="10.875" style="87"/>
  </cols>
  <sheetData>
    <row r="1" spans="1:26" ht="6.95" customHeight="1" x14ac:dyDescent="0.25"/>
    <row r="2" spans="1:26" x14ac:dyDescent="0.25">
      <c r="F2" s="99" t="s">
        <v>96</v>
      </c>
    </row>
    <row r="3" spans="1:26" ht="6.95" customHeight="1" x14ac:dyDescent="0.25">
      <c r="G3" s="88"/>
      <c r="H3" s="88"/>
    </row>
    <row r="4" spans="1:26" ht="6.95" customHeight="1" x14ac:dyDescent="0.25">
      <c r="B4" s="23"/>
      <c r="C4" s="23"/>
      <c r="D4" s="23"/>
      <c r="E4" s="23"/>
      <c r="F4" s="23"/>
      <c r="G4" s="77"/>
      <c r="H4" s="77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6.95" customHeight="1" x14ac:dyDescent="0.25">
      <c r="B5" s="23"/>
      <c r="C5" s="305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7"/>
      <c r="Z5" s="23"/>
    </row>
    <row r="6" spans="1:26" ht="24.95" customHeight="1" x14ac:dyDescent="0.25">
      <c r="A6" s="89"/>
      <c r="B6" s="70"/>
      <c r="C6" s="329" t="s">
        <v>93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1"/>
      <c r="Z6" s="70"/>
    </row>
    <row r="7" spans="1:26" ht="21.95" customHeight="1" x14ac:dyDescent="0.25">
      <c r="A7" s="89"/>
      <c r="B7" s="70"/>
      <c r="C7" s="335" t="s">
        <v>92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7"/>
      <c r="Z7" s="70"/>
    </row>
    <row r="8" spans="1:26" ht="21.95" customHeight="1" x14ac:dyDescent="0.25">
      <c r="A8" s="89"/>
      <c r="B8" s="70"/>
      <c r="C8" s="332" t="s">
        <v>113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4"/>
      <c r="Z8" s="70"/>
    </row>
    <row r="9" spans="1:26" ht="11.1" customHeight="1" x14ac:dyDescent="0.25">
      <c r="A9" s="89"/>
      <c r="B9" s="70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  <c r="Z9" s="70"/>
    </row>
    <row r="10" spans="1:26" ht="9.9499999999999993" customHeight="1" x14ac:dyDescent="0.25">
      <c r="B10" s="23"/>
      <c r="C10" s="71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75"/>
      <c r="Z10" s="23"/>
    </row>
    <row r="11" spans="1:26" ht="20.100000000000001" customHeight="1" x14ac:dyDescent="0.25">
      <c r="B11" s="23"/>
      <c r="C11" s="71"/>
      <c r="D11" s="326" t="s">
        <v>133</v>
      </c>
      <c r="E11" s="327"/>
      <c r="F11" s="327"/>
      <c r="G11" s="327"/>
      <c r="H11" s="327"/>
      <c r="I11" s="327"/>
      <c r="J11" s="327"/>
      <c r="K11" s="327"/>
      <c r="L11" s="327"/>
      <c r="M11" s="328"/>
      <c r="N11" s="24"/>
      <c r="O11" s="326" t="s">
        <v>146</v>
      </c>
      <c r="P11" s="327"/>
      <c r="Q11" s="327"/>
      <c r="R11" s="327"/>
      <c r="S11" s="327"/>
      <c r="T11" s="327"/>
      <c r="U11" s="327"/>
      <c r="V11" s="327"/>
      <c r="W11" s="327"/>
      <c r="X11" s="328"/>
      <c r="Y11" s="75"/>
      <c r="Z11" s="23"/>
    </row>
    <row r="12" spans="1:26" ht="9.9499999999999993" customHeight="1" thickBot="1" x14ac:dyDescent="0.3">
      <c r="B12" s="23"/>
      <c r="C12" s="71"/>
      <c r="D12" s="26"/>
      <c r="E12" s="27"/>
      <c r="F12" s="27"/>
      <c r="G12" s="28"/>
      <c r="H12" s="28"/>
      <c r="I12" s="27"/>
      <c r="J12" s="27"/>
      <c r="K12" s="27"/>
      <c r="L12" s="27"/>
      <c r="M12" s="29"/>
      <c r="N12" s="24"/>
      <c r="O12" s="26"/>
      <c r="P12" s="27"/>
      <c r="Q12" s="27"/>
      <c r="R12" s="27"/>
      <c r="S12" s="27"/>
      <c r="T12" s="27"/>
      <c r="U12" s="27"/>
      <c r="V12" s="27"/>
      <c r="W12" s="27"/>
      <c r="X12" s="29"/>
      <c r="Y12" s="75"/>
      <c r="Z12" s="23"/>
    </row>
    <row r="13" spans="1:26" ht="16.5" thickBot="1" x14ac:dyDescent="0.3">
      <c r="B13" s="23"/>
      <c r="C13" s="71"/>
      <c r="D13" s="342" t="s">
        <v>152</v>
      </c>
      <c r="E13" s="343"/>
      <c r="F13" s="343"/>
      <c r="G13" s="343"/>
      <c r="H13" s="30"/>
      <c r="I13" s="94">
        <v>0</v>
      </c>
      <c r="J13" s="31"/>
      <c r="K13" s="27"/>
      <c r="L13" s="27"/>
      <c r="M13" s="29"/>
      <c r="N13" s="24"/>
      <c r="O13" s="26"/>
      <c r="P13" s="27"/>
      <c r="Q13" s="27"/>
      <c r="R13" s="189" t="s">
        <v>155</v>
      </c>
      <c r="S13" s="27"/>
      <c r="T13" s="207">
        <v>0</v>
      </c>
      <c r="U13" s="27"/>
      <c r="V13" s="27"/>
      <c r="W13" s="27"/>
      <c r="X13" s="29"/>
      <c r="Y13" s="75"/>
      <c r="Z13" s="23"/>
    </row>
    <row r="14" spans="1:26" ht="16.5" thickBot="1" x14ac:dyDescent="0.3">
      <c r="B14" s="23"/>
      <c r="C14" s="71"/>
      <c r="D14" s="33"/>
      <c r="E14" s="34"/>
      <c r="F14" s="34"/>
      <c r="G14" s="34"/>
      <c r="H14" s="34"/>
      <c r="I14" s="92"/>
      <c r="J14" s="32"/>
      <c r="K14" s="27"/>
      <c r="L14" s="27"/>
      <c r="M14" s="29"/>
      <c r="N14" s="24"/>
      <c r="O14" s="26"/>
      <c r="P14" s="27"/>
      <c r="Q14" s="343"/>
      <c r="R14" s="343"/>
      <c r="S14" s="27"/>
      <c r="T14" s="175"/>
      <c r="U14" s="27"/>
      <c r="V14" s="27"/>
      <c r="W14" s="27"/>
      <c r="X14" s="29"/>
      <c r="Y14" s="75"/>
      <c r="Z14" s="23"/>
    </row>
    <row r="15" spans="1:26" ht="16.5" thickBot="1" x14ac:dyDescent="0.3">
      <c r="B15" s="23"/>
      <c r="C15" s="71"/>
      <c r="D15" s="342" t="s">
        <v>153</v>
      </c>
      <c r="E15" s="343"/>
      <c r="F15" s="343"/>
      <c r="G15" s="343"/>
      <c r="H15" s="30"/>
      <c r="I15" s="94">
        <v>0</v>
      </c>
      <c r="J15" s="31"/>
      <c r="K15" s="27"/>
      <c r="L15" s="27"/>
      <c r="M15" s="29"/>
      <c r="N15" s="24"/>
      <c r="O15" s="26"/>
      <c r="P15" s="27"/>
      <c r="Q15" s="341" t="s">
        <v>154</v>
      </c>
      <c r="R15" s="341"/>
      <c r="S15" s="131"/>
      <c r="T15" s="95">
        <v>0</v>
      </c>
      <c r="U15" s="172"/>
      <c r="V15" s="27"/>
      <c r="W15" s="27"/>
      <c r="X15" s="29"/>
      <c r="Y15" s="75"/>
      <c r="Z15" s="23"/>
    </row>
    <row r="16" spans="1:26" ht="16.5" thickBot="1" x14ac:dyDescent="0.3">
      <c r="B16" s="23"/>
      <c r="C16" s="71"/>
      <c r="D16" s="26"/>
      <c r="E16" s="27"/>
      <c r="F16" s="27"/>
      <c r="G16" s="28"/>
      <c r="H16" s="28"/>
      <c r="I16" s="28"/>
      <c r="J16" s="27"/>
      <c r="K16" s="27"/>
      <c r="L16" s="27"/>
      <c r="M16" s="29"/>
      <c r="N16" s="24"/>
      <c r="O16" s="26"/>
      <c r="P16" s="27"/>
      <c r="Q16" s="27"/>
      <c r="R16" s="27"/>
      <c r="S16" s="27"/>
      <c r="T16" s="27"/>
      <c r="U16" s="27"/>
      <c r="V16" s="27"/>
      <c r="W16" s="27"/>
      <c r="X16" s="29"/>
      <c r="Y16" s="75"/>
      <c r="Z16" s="23"/>
    </row>
    <row r="17" spans="2:26" ht="16.5" thickBot="1" x14ac:dyDescent="0.3">
      <c r="B17" s="23"/>
      <c r="C17" s="71"/>
      <c r="D17" s="342" t="s">
        <v>88</v>
      </c>
      <c r="E17" s="343"/>
      <c r="F17" s="343"/>
      <c r="G17" s="343"/>
      <c r="H17" s="28"/>
      <c r="I17" s="95"/>
      <c r="J17" s="27"/>
      <c r="K17" s="27"/>
      <c r="L17" s="27"/>
      <c r="M17" s="29"/>
      <c r="N17" s="24"/>
      <c r="O17" s="26"/>
      <c r="P17" s="27"/>
      <c r="Q17" s="343" t="s">
        <v>151</v>
      </c>
      <c r="R17" s="343"/>
      <c r="S17" s="27"/>
      <c r="T17" s="95">
        <v>0</v>
      </c>
      <c r="U17" s="27"/>
      <c r="V17" s="27"/>
      <c r="W17" s="27"/>
      <c r="X17" s="29"/>
      <c r="Y17" s="75"/>
      <c r="Z17" s="23"/>
    </row>
    <row r="18" spans="2:26" ht="9.9499999999999993" customHeight="1" x14ac:dyDescent="0.25">
      <c r="B18" s="23"/>
      <c r="C18" s="71"/>
      <c r="D18" s="26"/>
      <c r="E18" s="27"/>
      <c r="F18" s="27"/>
      <c r="G18" s="28"/>
      <c r="H18" s="28"/>
      <c r="I18" s="27"/>
      <c r="J18" s="28"/>
      <c r="K18" s="27"/>
      <c r="L18" s="27"/>
      <c r="M18" s="29"/>
      <c r="N18" s="24"/>
      <c r="O18" s="26"/>
      <c r="P18" s="27"/>
      <c r="Q18" s="168"/>
      <c r="R18" s="168"/>
      <c r="S18" s="27"/>
      <c r="T18" s="175"/>
      <c r="U18" s="27"/>
      <c r="V18" s="27"/>
      <c r="W18" s="27"/>
      <c r="X18" s="29"/>
      <c r="Y18" s="75"/>
      <c r="Z18" s="23"/>
    </row>
    <row r="19" spans="2:26" x14ac:dyDescent="0.25">
      <c r="B19" s="23"/>
      <c r="C19" s="71"/>
      <c r="D19" s="26"/>
      <c r="E19" s="294" t="s">
        <v>89</v>
      </c>
      <c r="F19" s="295"/>
      <c r="G19" s="295"/>
      <c r="H19" s="295"/>
      <c r="I19" s="295"/>
      <c r="J19" s="295"/>
      <c r="K19" s="295"/>
      <c r="L19" s="296"/>
      <c r="M19" s="29"/>
      <c r="N19" s="24"/>
      <c r="O19" s="26"/>
      <c r="P19" s="294" t="s">
        <v>89</v>
      </c>
      <c r="Q19" s="295"/>
      <c r="R19" s="295"/>
      <c r="S19" s="295"/>
      <c r="T19" s="295"/>
      <c r="U19" s="295"/>
      <c r="V19" s="295"/>
      <c r="W19" s="296"/>
      <c r="X19" s="29"/>
      <c r="Y19" s="75"/>
      <c r="Z19" s="23"/>
    </row>
    <row r="20" spans="2:26" ht="9.9499999999999993" customHeight="1" x14ac:dyDescent="0.25">
      <c r="B20" s="23"/>
      <c r="C20" s="71"/>
      <c r="D20" s="26"/>
      <c r="E20" s="21"/>
      <c r="F20" s="44"/>
      <c r="G20" s="44"/>
      <c r="H20" s="44"/>
      <c r="I20" s="44"/>
      <c r="J20" s="44"/>
      <c r="K20" s="44"/>
      <c r="L20" s="45"/>
      <c r="M20" s="39"/>
      <c r="N20" s="24"/>
      <c r="O20" s="26"/>
      <c r="P20" s="78"/>
      <c r="Q20" s="79"/>
      <c r="R20" s="79"/>
      <c r="S20" s="79"/>
      <c r="T20" s="79"/>
      <c r="U20" s="79"/>
      <c r="V20" s="79"/>
      <c r="W20" s="80"/>
      <c r="X20" s="29"/>
      <c r="Y20" s="75"/>
      <c r="Z20" s="23"/>
    </row>
    <row r="21" spans="2:26" x14ac:dyDescent="0.25">
      <c r="B21" s="23"/>
      <c r="C21" s="71"/>
      <c r="D21" s="26"/>
      <c r="E21" s="21"/>
      <c r="F21" s="349" t="s">
        <v>90</v>
      </c>
      <c r="G21" s="350"/>
      <c r="H21" s="53"/>
      <c r="I21" s="349" t="s">
        <v>87</v>
      </c>
      <c r="J21" s="351"/>
      <c r="K21" s="350"/>
      <c r="L21" s="45"/>
      <c r="M21" s="39"/>
      <c r="N21" s="24"/>
      <c r="O21" s="26"/>
      <c r="P21" s="21"/>
      <c r="Q21" s="349" t="s">
        <v>90</v>
      </c>
      <c r="R21" s="350"/>
      <c r="S21" s="52"/>
      <c r="T21" s="349" t="s">
        <v>87</v>
      </c>
      <c r="U21" s="351"/>
      <c r="V21" s="350"/>
      <c r="W21" s="54"/>
      <c r="X21" s="29"/>
      <c r="Y21" s="75"/>
      <c r="Z21" s="23"/>
    </row>
    <row r="22" spans="2:26" x14ac:dyDescent="0.25">
      <c r="B22" s="23"/>
      <c r="C22" s="71"/>
      <c r="D22" s="26"/>
      <c r="E22" s="21"/>
      <c r="F22" s="59" t="s">
        <v>58</v>
      </c>
      <c r="G22" s="60">
        <f>'Shelby Data'!D14</f>
        <v>0</v>
      </c>
      <c r="H22" s="53"/>
      <c r="I22" s="324" t="s">
        <v>59</v>
      </c>
      <c r="J22" s="325"/>
      <c r="K22" s="60">
        <f>'Shelby Data'!D16</f>
        <v>0</v>
      </c>
      <c r="L22" s="22"/>
      <c r="M22" s="39"/>
      <c r="N22" s="24"/>
      <c r="O22" s="26"/>
      <c r="P22" s="21"/>
      <c r="Q22" s="192" t="s">
        <v>148</v>
      </c>
      <c r="R22" s="66">
        <f>'Shelby Data'!D66</f>
        <v>0</v>
      </c>
      <c r="S22" s="81"/>
      <c r="T22" s="312" t="s">
        <v>148</v>
      </c>
      <c r="U22" s="309"/>
      <c r="V22" s="66">
        <f>'Shelby Data'!D68</f>
        <v>0</v>
      </c>
      <c r="W22" s="54"/>
      <c r="X22" s="29"/>
      <c r="Y22" s="75"/>
      <c r="Z22" s="23"/>
    </row>
    <row r="23" spans="2:26" x14ac:dyDescent="0.25">
      <c r="B23" s="23"/>
      <c r="C23" s="71"/>
      <c r="D23" s="26"/>
      <c r="E23" s="21"/>
      <c r="F23" s="178" t="s">
        <v>147</v>
      </c>
      <c r="G23" s="62">
        <f>-'Shelby Data'!H44</f>
        <v>0</v>
      </c>
      <c r="H23" s="53"/>
      <c r="I23" s="366" t="s">
        <v>147</v>
      </c>
      <c r="J23" s="319"/>
      <c r="K23" s="62">
        <f>-'Shelby Data'!I44</f>
        <v>0</v>
      </c>
      <c r="L23" s="22"/>
      <c r="M23" s="40"/>
      <c r="N23" s="24"/>
      <c r="O23" s="26"/>
      <c r="P23" s="21"/>
      <c r="Q23" s="61" t="s">
        <v>83</v>
      </c>
      <c r="R23" s="62">
        <f>'Shelby Data'!D55</f>
        <v>0</v>
      </c>
      <c r="S23" s="81"/>
      <c r="T23" s="353" t="s">
        <v>85</v>
      </c>
      <c r="U23" s="319"/>
      <c r="V23" s="62">
        <f>'Shelby Data'!D57</f>
        <v>0</v>
      </c>
      <c r="W23" s="54"/>
      <c r="X23" s="29"/>
      <c r="Y23" s="75"/>
      <c r="Z23" s="23"/>
    </row>
    <row r="24" spans="2:26" x14ac:dyDescent="0.25">
      <c r="B24" s="23"/>
      <c r="C24" s="71"/>
      <c r="D24" s="26"/>
      <c r="E24" s="21"/>
      <c r="F24" s="63" t="s">
        <v>67</v>
      </c>
      <c r="G24" s="64">
        <f>'Shelby Data'!N31</f>
        <v>0</v>
      </c>
      <c r="H24" s="53"/>
      <c r="I24" s="320" t="s">
        <v>73</v>
      </c>
      <c r="J24" s="321"/>
      <c r="K24" s="64">
        <f>'Shelby Data'!O31</f>
        <v>0</v>
      </c>
      <c r="L24" s="22"/>
      <c r="M24" s="29"/>
      <c r="N24" s="24"/>
      <c r="O24" s="26"/>
      <c r="P24" s="21"/>
      <c r="Q24" s="63" t="s">
        <v>84</v>
      </c>
      <c r="R24" s="64">
        <f>'Shelby Data'!D104</f>
        <v>0</v>
      </c>
      <c r="S24" s="81"/>
      <c r="T24" s="313" t="s">
        <v>86</v>
      </c>
      <c r="U24" s="314"/>
      <c r="V24" s="64">
        <f>'Shelby Data'!D106</f>
        <v>0</v>
      </c>
      <c r="W24" s="54"/>
      <c r="X24" s="29"/>
      <c r="Y24" s="75"/>
      <c r="Z24" s="23"/>
    </row>
    <row r="25" spans="2:26" x14ac:dyDescent="0.25">
      <c r="B25" s="23"/>
      <c r="C25" s="71"/>
      <c r="D25" s="26"/>
      <c r="E25" s="21"/>
      <c r="F25" s="82" t="str">
        <f>IF(G25=200,"Minimum Allowable Premium","Total")</f>
        <v>Total</v>
      </c>
      <c r="G25" s="83">
        <f>IF(AND(SUM(G22:G23)&gt;0,SUM(G22:G23)&lt;200),200+G24,SUM(G22:G24))</f>
        <v>0</v>
      </c>
      <c r="H25" s="68"/>
      <c r="I25" s="322" t="str">
        <f>IF(K25=200,"Minimum Allowable Premium","Total")</f>
        <v>Total</v>
      </c>
      <c r="J25" s="323"/>
      <c r="K25" s="83">
        <f>IF(AND(SUM(K22:K23)&gt;0,SUM(K22:K23)&lt;200),200+K24,SUM(K22:K24))</f>
        <v>0</v>
      </c>
      <c r="L25" s="51"/>
      <c r="M25" s="29"/>
      <c r="N25" s="24"/>
      <c r="O25" s="26"/>
      <c r="P25" s="21"/>
      <c r="Q25" s="140" t="str">
        <f>IF(R25=200,"Minimum Allowable Premium","Total")</f>
        <v>Total</v>
      </c>
      <c r="R25" s="83">
        <f>IF(AND(SUM(R22:R23)&gt;0,SUM(R22:R23)&lt;200),200+R24,SUM(R22:R24))</f>
        <v>0</v>
      </c>
      <c r="S25" s="142"/>
      <c r="T25" s="322" t="str">
        <f>IF(V25=200,"Minimum Allowable Premium","Total")</f>
        <v>Total</v>
      </c>
      <c r="U25" s="323"/>
      <c r="V25" s="83">
        <f>IF(AND(SUM(V22:V23)&gt;0,SUM(V22:V23)&lt;200),200+V24,SUM(V22:V24))</f>
        <v>0</v>
      </c>
      <c r="W25" s="54"/>
      <c r="X25" s="29"/>
      <c r="Y25" s="75"/>
      <c r="Z25" s="23"/>
    </row>
    <row r="26" spans="2:26" ht="9.9499999999999993" customHeight="1" x14ac:dyDescent="0.25">
      <c r="B26" s="23"/>
      <c r="C26" s="71"/>
      <c r="D26" s="26"/>
      <c r="E26" s="46"/>
      <c r="F26" s="47"/>
      <c r="G26" s="48"/>
      <c r="H26" s="48"/>
      <c r="I26" s="49"/>
      <c r="J26" s="49"/>
      <c r="K26" s="48"/>
      <c r="L26" s="50"/>
      <c r="M26" s="29"/>
      <c r="N26" s="24"/>
      <c r="O26" s="26"/>
      <c r="P26" s="46"/>
      <c r="Q26" s="57"/>
      <c r="R26" s="57"/>
      <c r="S26" s="57"/>
      <c r="T26" s="57"/>
      <c r="U26" s="57"/>
      <c r="V26" s="57"/>
      <c r="W26" s="58"/>
      <c r="X26" s="29"/>
      <c r="Y26" s="75"/>
      <c r="Z26" s="23"/>
    </row>
    <row r="27" spans="2:26" ht="9.9499999999999993" customHeight="1" x14ac:dyDescent="0.25">
      <c r="B27" s="23"/>
      <c r="C27" s="71"/>
      <c r="D27" s="26"/>
      <c r="E27" s="27"/>
      <c r="F27" s="41"/>
      <c r="G27" s="42"/>
      <c r="H27" s="42"/>
      <c r="I27" s="43"/>
      <c r="J27" s="43"/>
      <c r="K27" s="42"/>
      <c r="L27" s="42"/>
      <c r="M27" s="29"/>
      <c r="N27" s="24"/>
      <c r="O27" s="26"/>
      <c r="P27" s="27"/>
      <c r="Q27" s="27"/>
      <c r="R27" s="27"/>
      <c r="S27" s="27"/>
      <c r="T27" s="27"/>
      <c r="U27" s="27"/>
      <c r="V27" s="27"/>
      <c r="W27" s="27"/>
      <c r="X27" s="29"/>
      <c r="Y27" s="75"/>
      <c r="Z27" s="23"/>
    </row>
    <row r="28" spans="2:26" x14ac:dyDescent="0.25">
      <c r="B28" s="23"/>
      <c r="C28" s="71"/>
      <c r="D28" s="26"/>
      <c r="E28" s="294" t="s">
        <v>91</v>
      </c>
      <c r="F28" s="295"/>
      <c r="G28" s="295"/>
      <c r="H28" s="295"/>
      <c r="I28" s="295"/>
      <c r="J28" s="295"/>
      <c r="K28" s="295"/>
      <c r="L28" s="296"/>
      <c r="M28" s="29"/>
      <c r="N28" s="24"/>
      <c r="O28" s="26"/>
      <c r="P28" s="294" t="s">
        <v>91</v>
      </c>
      <c r="Q28" s="295"/>
      <c r="R28" s="295"/>
      <c r="S28" s="295"/>
      <c r="T28" s="295"/>
      <c r="U28" s="295"/>
      <c r="V28" s="295"/>
      <c r="W28" s="296"/>
      <c r="X28" s="29"/>
      <c r="Y28" s="75"/>
      <c r="Z28" s="23"/>
    </row>
    <row r="29" spans="2:26" ht="9.9499999999999993" customHeight="1" thickBot="1" x14ac:dyDescent="0.3">
      <c r="B29" s="23"/>
      <c r="C29" s="71"/>
      <c r="D29" s="26"/>
      <c r="E29" s="21"/>
      <c r="F29" s="52"/>
      <c r="G29" s="53"/>
      <c r="H29" s="53"/>
      <c r="I29" s="52"/>
      <c r="J29" s="52"/>
      <c r="K29" s="52"/>
      <c r="L29" s="54"/>
      <c r="M29" s="39"/>
      <c r="N29" s="24"/>
      <c r="O29" s="26"/>
      <c r="P29" s="21"/>
      <c r="Q29" s="52"/>
      <c r="R29" s="52"/>
      <c r="S29" s="52"/>
      <c r="T29" s="52"/>
      <c r="U29" s="52"/>
      <c r="V29" s="52"/>
      <c r="W29" s="54"/>
      <c r="X29" s="29"/>
      <c r="Y29" s="75"/>
      <c r="Z29" s="23"/>
    </row>
    <row r="30" spans="2:26" ht="16.5" thickBot="1" x14ac:dyDescent="0.3">
      <c r="B30" s="23"/>
      <c r="C30" s="71"/>
      <c r="D30" s="26"/>
      <c r="E30" s="21"/>
      <c r="F30" s="317" t="s">
        <v>78</v>
      </c>
      <c r="G30" s="317"/>
      <c r="H30" s="55"/>
      <c r="I30" s="96">
        <v>0</v>
      </c>
      <c r="J30" s="52"/>
      <c r="K30" s="52"/>
      <c r="L30" s="54"/>
      <c r="M30" s="39"/>
      <c r="N30" s="24"/>
      <c r="O30" s="26"/>
      <c r="P30" s="21"/>
      <c r="Q30" s="317" t="s">
        <v>78</v>
      </c>
      <c r="R30" s="317"/>
      <c r="S30" s="52"/>
      <c r="T30" s="96">
        <v>0</v>
      </c>
      <c r="U30" s="52"/>
      <c r="V30" s="52"/>
      <c r="W30" s="54"/>
      <c r="X30" s="29"/>
      <c r="Y30" s="75"/>
      <c r="Z30" s="23"/>
    </row>
    <row r="31" spans="2:26" ht="9.9499999999999993" customHeight="1" x14ac:dyDescent="0.25">
      <c r="B31" s="23"/>
      <c r="C31" s="71"/>
      <c r="D31" s="26"/>
      <c r="E31" s="21"/>
      <c r="F31" s="217"/>
      <c r="G31" s="217"/>
      <c r="H31" s="55"/>
      <c r="I31" s="55"/>
      <c r="J31" s="52"/>
      <c r="K31" s="52"/>
      <c r="L31" s="54"/>
      <c r="M31" s="39"/>
      <c r="N31" s="24"/>
      <c r="O31" s="26"/>
      <c r="P31" s="21"/>
      <c r="Q31" s="52"/>
      <c r="R31" s="52"/>
      <c r="S31" s="52"/>
      <c r="T31" s="52"/>
      <c r="U31" s="52"/>
      <c r="V31" s="52"/>
      <c r="W31" s="54"/>
      <c r="X31" s="29"/>
      <c r="Y31" s="75"/>
      <c r="Z31" s="23"/>
    </row>
    <row r="32" spans="2:26" x14ac:dyDescent="0.25">
      <c r="B32" s="23"/>
      <c r="C32" s="71"/>
      <c r="D32" s="26"/>
      <c r="E32" s="21"/>
      <c r="F32" s="349" t="s">
        <v>90</v>
      </c>
      <c r="G32" s="350"/>
      <c r="H32" s="55"/>
      <c r="I32" s="355" t="s">
        <v>87</v>
      </c>
      <c r="J32" s="356"/>
      <c r="K32" s="357"/>
      <c r="L32" s="54"/>
      <c r="M32" s="39"/>
      <c r="N32" s="24"/>
      <c r="O32" s="26"/>
      <c r="P32" s="21"/>
      <c r="Q32" s="349" t="s">
        <v>90</v>
      </c>
      <c r="R32" s="350"/>
      <c r="S32" s="5"/>
      <c r="T32" s="355" t="s">
        <v>87</v>
      </c>
      <c r="U32" s="356"/>
      <c r="V32" s="357"/>
      <c r="W32" s="54"/>
      <c r="X32" s="29"/>
      <c r="Y32" s="75"/>
      <c r="Z32" s="23"/>
    </row>
    <row r="33" spans="2:26" x14ac:dyDescent="0.25">
      <c r="B33" s="23"/>
      <c r="C33" s="71"/>
      <c r="D33" s="26"/>
      <c r="E33" s="21"/>
      <c r="F33" s="261" t="s">
        <v>79</v>
      </c>
      <c r="G33" s="247">
        <f>I30*G25</f>
        <v>0</v>
      </c>
      <c r="H33" s="53"/>
      <c r="I33" s="376" t="s">
        <v>79</v>
      </c>
      <c r="J33" s="377"/>
      <c r="K33" s="247">
        <f>I30*K25</f>
        <v>0</v>
      </c>
      <c r="L33" s="22"/>
      <c r="M33" s="29"/>
      <c r="N33" s="24"/>
      <c r="O33" s="26"/>
      <c r="P33" s="21"/>
      <c r="Q33" s="261" t="s">
        <v>79</v>
      </c>
      <c r="R33" s="247">
        <f>T30*R25</f>
        <v>0</v>
      </c>
      <c r="S33" s="5"/>
      <c r="T33" s="376" t="s">
        <v>79</v>
      </c>
      <c r="U33" s="377"/>
      <c r="V33" s="247">
        <f>T30*V25</f>
        <v>0</v>
      </c>
      <c r="W33" s="54"/>
      <c r="X33" s="29"/>
      <c r="Y33" s="75"/>
      <c r="Z33" s="23"/>
    </row>
    <row r="34" spans="2:26" x14ac:dyDescent="0.25">
      <c r="B34" s="23"/>
      <c r="C34" s="71"/>
      <c r="D34" s="26"/>
      <c r="E34" s="21"/>
      <c r="F34" s="262" t="s">
        <v>80</v>
      </c>
      <c r="G34" s="248">
        <f>IF(I30&gt;0,(100%-I30)*G25,0)</f>
        <v>0</v>
      </c>
      <c r="H34" s="53"/>
      <c r="I34" s="310" t="s">
        <v>80</v>
      </c>
      <c r="J34" s="378"/>
      <c r="K34" s="248">
        <f>IF(I30&gt;0,(100%-I30)*K25,0)</f>
        <v>0</v>
      </c>
      <c r="L34" s="22"/>
      <c r="M34" s="29"/>
      <c r="N34" s="24"/>
      <c r="O34" s="26"/>
      <c r="P34" s="21"/>
      <c r="Q34" s="262" t="s">
        <v>80</v>
      </c>
      <c r="R34" s="248">
        <f>IF(T30&gt;0,(100%-T30)*R25,0)</f>
        <v>0</v>
      </c>
      <c r="S34" s="5"/>
      <c r="T34" s="310" t="s">
        <v>80</v>
      </c>
      <c r="U34" s="378"/>
      <c r="V34" s="248">
        <f>IF(T30&gt;0,(100%-T30)*V25,0)</f>
        <v>0</v>
      </c>
      <c r="W34" s="54"/>
      <c r="X34" s="29"/>
      <c r="Y34" s="75"/>
      <c r="Z34" s="23"/>
    </row>
    <row r="35" spans="2:26" x14ac:dyDescent="0.25">
      <c r="B35" s="23"/>
      <c r="C35" s="71"/>
      <c r="D35" s="26"/>
      <c r="E35" s="46"/>
      <c r="F35" s="256"/>
      <c r="G35" s="257"/>
      <c r="H35" s="263"/>
      <c r="I35" s="259"/>
      <c r="J35" s="259"/>
      <c r="K35" s="257"/>
      <c r="L35" s="246"/>
      <c r="M35" s="29"/>
      <c r="N35" s="24"/>
      <c r="O35" s="26"/>
      <c r="P35" s="46"/>
      <c r="Q35" s="256"/>
      <c r="R35" s="257"/>
      <c r="S35" s="258"/>
      <c r="T35" s="259"/>
      <c r="U35" s="259"/>
      <c r="V35" s="257"/>
      <c r="W35" s="58"/>
      <c r="X35" s="29"/>
      <c r="Y35" s="75"/>
      <c r="Z35" s="23"/>
    </row>
    <row r="36" spans="2:26" x14ac:dyDescent="0.25">
      <c r="B36" s="23"/>
      <c r="C36" s="71"/>
      <c r="D36" s="26"/>
      <c r="E36" s="52"/>
      <c r="F36" s="253"/>
      <c r="G36" s="254"/>
      <c r="H36" s="260"/>
      <c r="I36" s="255"/>
      <c r="J36" s="255"/>
      <c r="K36" s="254"/>
      <c r="L36" s="53"/>
      <c r="M36" s="29"/>
      <c r="N36" s="24"/>
      <c r="O36" s="26"/>
      <c r="P36" s="27"/>
      <c r="Q36" s="265"/>
      <c r="R36" s="266"/>
      <c r="S36" s="27"/>
      <c r="T36" s="267"/>
      <c r="U36" s="267"/>
      <c r="V36" s="266"/>
      <c r="W36" s="27"/>
      <c r="X36" s="29"/>
      <c r="Y36" s="75"/>
      <c r="Z36" s="23"/>
    </row>
    <row r="37" spans="2:26" x14ac:dyDescent="0.25">
      <c r="B37" s="23"/>
      <c r="C37" s="71"/>
      <c r="D37" s="26"/>
      <c r="E37" s="294" t="s">
        <v>162</v>
      </c>
      <c r="F37" s="295"/>
      <c r="G37" s="295"/>
      <c r="H37" s="295"/>
      <c r="I37" s="295"/>
      <c r="J37" s="295"/>
      <c r="K37" s="295"/>
      <c r="L37" s="296"/>
      <c r="M37" s="29"/>
      <c r="N37" s="24"/>
      <c r="O37" s="26"/>
      <c r="P37" s="27"/>
      <c r="Q37" s="265"/>
      <c r="R37" s="266"/>
      <c r="S37" s="27"/>
      <c r="T37" s="267"/>
      <c r="U37" s="267"/>
      <c r="V37" s="266"/>
      <c r="W37" s="27"/>
      <c r="X37" s="29"/>
      <c r="Y37" s="75"/>
      <c r="Z37" s="23"/>
    </row>
    <row r="38" spans="2:26" x14ac:dyDescent="0.25">
      <c r="B38" s="23"/>
      <c r="C38" s="71"/>
      <c r="D38" s="26"/>
      <c r="E38" s="222"/>
      <c r="F38" s="221"/>
      <c r="G38" s="221"/>
      <c r="H38" s="221"/>
      <c r="I38" s="221"/>
      <c r="J38" s="221"/>
      <c r="K38" s="221"/>
      <c r="L38" s="223"/>
      <c r="M38" s="29"/>
      <c r="N38" s="24"/>
      <c r="O38" s="26"/>
      <c r="P38" s="27"/>
      <c r="Q38" s="265"/>
      <c r="R38" s="266"/>
      <c r="S38" s="27"/>
      <c r="T38" s="267"/>
      <c r="U38" s="267"/>
      <c r="V38" s="266"/>
      <c r="W38" s="27"/>
      <c r="X38" s="29"/>
      <c r="Y38" s="75"/>
      <c r="Z38" s="23"/>
    </row>
    <row r="39" spans="2:26" x14ac:dyDescent="0.25">
      <c r="B39" s="23"/>
      <c r="C39" s="71"/>
      <c r="D39" s="26"/>
      <c r="E39" s="218"/>
      <c r="F39" s="227"/>
      <c r="G39" s="228"/>
      <c r="H39" s="229"/>
      <c r="I39" s="216" t="s">
        <v>90</v>
      </c>
      <c r="J39" s="264" t="s">
        <v>87</v>
      </c>
      <c r="K39" s="228"/>
      <c r="L39" s="219"/>
      <c r="M39" s="29"/>
      <c r="N39" s="24"/>
      <c r="O39" s="26"/>
      <c r="P39" s="27"/>
      <c r="Q39" s="265"/>
      <c r="R39" s="266"/>
      <c r="S39" s="27"/>
      <c r="T39" s="267"/>
      <c r="U39" s="267"/>
      <c r="V39" s="266"/>
      <c r="W39" s="27"/>
      <c r="X39" s="29"/>
      <c r="Y39" s="75"/>
      <c r="Z39" s="23"/>
    </row>
    <row r="40" spans="2:26" x14ac:dyDescent="0.25">
      <c r="B40" s="23"/>
      <c r="C40" s="71"/>
      <c r="D40" s="26"/>
      <c r="E40" s="21"/>
      <c r="F40" s="297" t="s">
        <v>163</v>
      </c>
      <c r="G40" s="298"/>
      <c r="H40" s="68"/>
      <c r="I40" s="232">
        <f>IF(I17=0,0,G25-I42)</f>
        <v>0</v>
      </c>
      <c r="J40" s="234">
        <f>IF(I17=0,0,K25-J42)</f>
        <v>0</v>
      </c>
      <c r="K40" s="236"/>
      <c r="L40" s="51"/>
      <c r="M40" s="29"/>
      <c r="N40" s="24"/>
      <c r="O40" s="26"/>
      <c r="P40" s="27"/>
      <c r="Q40" s="265"/>
      <c r="R40" s="266"/>
      <c r="S40" s="27"/>
      <c r="T40" s="267"/>
      <c r="U40" s="267"/>
      <c r="V40" s="266"/>
      <c r="W40" s="27"/>
      <c r="X40" s="29"/>
      <c r="Y40" s="75"/>
      <c r="Z40" s="23"/>
    </row>
    <row r="41" spans="2:26" x14ac:dyDescent="0.25">
      <c r="B41" s="23"/>
      <c r="C41" s="71"/>
      <c r="D41" s="26"/>
      <c r="E41" s="225"/>
      <c r="F41" s="299" t="s">
        <v>164</v>
      </c>
      <c r="G41" s="300"/>
      <c r="H41" s="220"/>
      <c r="I41" s="233">
        <f>IF(I17=0,0,G22+G23-I40)</f>
        <v>0</v>
      </c>
      <c r="J41" s="235">
        <f>IF(I17=0,0,K22+K23-J40)</f>
        <v>0</v>
      </c>
      <c r="K41" s="237"/>
      <c r="L41" s="226"/>
      <c r="M41" s="29"/>
      <c r="N41" s="24"/>
      <c r="O41" s="26"/>
      <c r="P41" s="27"/>
      <c r="Q41" s="265"/>
      <c r="R41" s="266"/>
      <c r="S41" s="27"/>
      <c r="T41" s="267"/>
      <c r="U41" s="267"/>
      <c r="V41" s="266"/>
      <c r="W41" s="27"/>
      <c r="X41" s="29"/>
      <c r="Y41" s="75"/>
      <c r="Z41" s="23"/>
    </row>
    <row r="42" spans="2:26" x14ac:dyDescent="0.25">
      <c r="B42" s="23"/>
      <c r="C42" s="71"/>
      <c r="D42" s="26"/>
      <c r="E42" s="21"/>
      <c r="F42" s="301" t="s">
        <v>165</v>
      </c>
      <c r="G42" s="302"/>
      <c r="H42" s="48"/>
      <c r="I42" s="231">
        <f>IF(I17=0,0,'Shelby Data'!D77)</f>
        <v>0</v>
      </c>
      <c r="J42" s="231">
        <f>IF(I17=0,0,'Shelby Data'!D79)</f>
        <v>0</v>
      </c>
      <c r="K42" s="238"/>
      <c r="L42" s="51"/>
      <c r="M42" s="29"/>
      <c r="N42" s="24"/>
      <c r="O42" s="26"/>
      <c r="P42" s="27"/>
      <c r="Q42" s="265"/>
      <c r="R42" s="266"/>
      <c r="S42" s="27"/>
      <c r="T42" s="267"/>
      <c r="U42" s="267"/>
      <c r="V42" s="266"/>
      <c r="W42" s="27"/>
      <c r="X42" s="29"/>
      <c r="Y42" s="75"/>
      <c r="Z42" s="23"/>
    </row>
    <row r="43" spans="2:26" x14ac:dyDescent="0.25">
      <c r="B43" s="23"/>
      <c r="C43" s="71"/>
      <c r="D43" s="26"/>
      <c r="E43" s="46"/>
      <c r="F43" s="224"/>
      <c r="G43" s="224"/>
      <c r="H43" s="48"/>
      <c r="I43" s="231"/>
      <c r="J43" s="231"/>
      <c r="K43" s="230"/>
      <c r="L43" s="50"/>
      <c r="M43" s="29"/>
      <c r="N43" s="24"/>
      <c r="O43" s="26"/>
      <c r="P43" s="27"/>
      <c r="Q43" s="27"/>
      <c r="R43" s="27"/>
      <c r="S43" s="27"/>
      <c r="T43" s="27"/>
      <c r="U43" s="27"/>
      <c r="V43" s="27"/>
      <c r="W43" s="27"/>
      <c r="X43" s="29"/>
      <c r="Y43" s="75"/>
      <c r="Z43" s="23"/>
    </row>
    <row r="44" spans="2:26" ht="9.9499999999999993" customHeight="1" x14ac:dyDescent="0.25">
      <c r="B44" s="23"/>
      <c r="C44" s="71"/>
      <c r="D44" s="35"/>
      <c r="E44" s="36"/>
      <c r="F44" s="36"/>
      <c r="G44" s="37"/>
      <c r="H44" s="37"/>
      <c r="I44" s="36"/>
      <c r="J44" s="36"/>
      <c r="K44" s="36"/>
      <c r="L44" s="36"/>
      <c r="M44" s="38"/>
      <c r="N44" s="24"/>
      <c r="O44" s="35"/>
      <c r="P44" s="36"/>
      <c r="Q44" s="36"/>
      <c r="R44" s="36"/>
      <c r="S44" s="36"/>
      <c r="T44" s="36"/>
      <c r="U44" s="36"/>
      <c r="V44" s="36"/>
      <c r="W44" s="36"/>
      <c r="X44" s="38"/>
      <c r="Y44" s="75"/>
      <c r="Z44" s="23"/>
    </row>
    <row r="45" spans="2:26" ht="6.95" customHeight="1" x14ac:dyDescent="0.25">
      <c r="B45" s="23"/>
      <c r="C45" s="72"/>
      <c r="D45" s="73"/>
      <c r="E45" s="73"/>
      <c r="F45" s="73"/>
      <c r="G45" s="74"/>
      <c r="H45" s="74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6"/>
      <c r="Z45" s="23"/>
    </row>
    <row r="46" spans="2:26" ht="6.95" customHeight="1" x14ac:dyDescent="0.25">
      <c r="B46" s="23"/>
      <c r="C46" s="23"/>
      <c r="D46" s="23"/>
      <c r="E46" s="23"/>
      <c r="F46" s="52"/>
      <c r="G46" s="53"/>
      <c r="H46" s="53"/>
      <c r="I46" s="52"/>
      <c r="J46" s="5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2:26" ht="24" customHeight="1" x14ac:dyDescent="0.3">
      <c r="C47" s="380" t="s">
        <v>144</v>
      </c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138"/>
      <c r="O47" s="138"/>
      <c r="P47" s="138"/>
      <c r="Q47" s="379" t="s">
        <v>149</v>
      </c>
      <c r="R47" s="379"/>
      <c r="S47" s="379"/>
      <c r="T47" s="379"/>
      <c r="U47" s="379"/>
      <c r="V47" s="379"/>
      <c r="W47" s="379"/>
      <c r="X47" s="379"/>
      <c r="Y47" s="138"/>
      <c r="Z47" s="138"/>
    </row>
  </sheetData>
  <sheetProtection password="EB27" sheet="1" objects="1" scenarios="1" selectLockedCells="1"/>
  <mergeCells count="44">
    <mergeCell ref="I33:J33"/>
    <mergeCell ref="T33:U33"/>
    <mergeCell ref="I34:J34"/>
    <mergeCell ref="T34:U34"/>
    <mergeCell ref="Q47:X47"/>
    <mergeCell ref="C47:M47"/>
    <mergeCell ref="E37:L37"/>
    <mergeCell ref="F40:G40"/>
    <mergeCell ref="F41:G41"/>
    <mergeCell ref="F42:G42"/>
    <mergeCell ref="E28:L28"/>
    <mergeCell ref="P28:W28"/>
    <mergeCell ref="F30:G30"/>
    <mergeCell ref="Q30:R30"/>
    <mergeCell ref="F32:G32"/>
    <mergeCell ref="I32:K32"/>
    <mergeCell ref="Q32:R32"/>
    <mergeCell ref="T32:V32"/>
    <mergeCell ref="C5:Y5"/>
    <mergeCell ref="I22:J22"/>
    <mergeCell ref="T22:U22"/>
    <mergeCell ref="I23:J23"/>
    <mergeCell ref="T24:U24"/>
    <mergeCell ref="F21:G21"/>
    <mergeCell ref="I21:K21"/>
    <mergeCell ref="Q21:R21"/>
    <mergeCell ref="T21:V21"/>
    <mergeCell ref="C6:Y6"/>
    <mergeCell ref="C7:Y7"/>
    <mergeCell ref="C8:Y8"/>
    <mergeCell ref="D11:M11"/>
    <mergeCell ref="O11:X11"/>
    <mergeCell ref="D13:G13"/>
    <mergeCell ref="Q14:R14"/>
    <mergeCell ref="T23:U23"/>
    <mergeCell ref="I25:J25"/>
    <mergeCell ref="I24:J24"/>
    <mergeCell ref="T25:U25"/>
    <mergeCell ref="D15:G15"/>
    <mergeCell ref="Q17:R17"/>
    <mergeCell ref="D17:G17"/>
    <mergeCell ref="E19:L19"/>
    <mergeCell ref="P19:W19"/>
    <mergeCell ref="Q15:R15"/>
  </mergeCells>
  <phoneticPr fontId="19" type="noConversion"/>
  <hyperlinks>
    <hyperlink ref="F2" location="Menu!A1" display="Return To Main Menu"/>
    <hyperlink ref="C47" r:id="rId1"/>
    <hyperlink ref="D47" r:id="rId2" display="http://ratecalculator.fnf.com/"/>
    <hyperlink ref="E47" r:id="rId3" display="http://ratecalculator.fnf.com/"/>
    <hyperlink ref="F47" r:id="rId4" display="http://ratecalculator.fnf.com/"/>
    <hyperlink ref="G47" r:id="rId5" display="http://ratecalculator.fnf.com/"/>
    <hyperlink ref="H47" r:id="rId6" display="http://ratecalculator.fnf.com/"/>
    <hyperlink ref="I47" r:id="rId7" display="http://ratecalculator.fnf.com/"/>
    <hyperlink ref="J47" r:id="rId8" display="http://ratecalculator.fnf.com/"/>
    <hyperlink ref="K47" r:id="rId9" display="http://ratecalculator.fnf.com/"/>
    <hyperlink ref="L47" r:id="rId10" display="http://ratecalculator.fnf.com/"/>
    <hyperlink ref="M47" r:id="rId11" display="http://ratecalculator.fnf.com/"/>
  </hyperlinks>
  <printOptions horizontalCentered="1" verticalCentered="1"/>
  <pageMargins left="0.1" right="0.1" top="0.1" bottom="0.1" header="0" footer="0"/>
  <pageSetup scale="61" orientation="landscape" horizontalDpi="4294967292" verticalDpi="4294967292" r:id="rId12"/>
  <drawing r:id="rId13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108"/>
  <sheetViews>
    <sheetView topLeftCell="A64" workbookViewId="0">
      <selection activeCell="D71" sqref="D71"/>
    </sheetView>
  </sheetViews>
  <sheetFormatPr defaultColWidth="0" defaultRowHeight="15.75" x14ac:dyDescent="0.25"/>
  <cols>
    <col min="1" max="3" width="1.125" customWidth="1"/>
    <col min="4" max="4" width="21.375" bestFit="1" customWidth="1"/>
    <col min="5" max="5" width="22.625" bestFit="1" customWidth="1"/>
    <col min="6" max="6" width="17.375" customWidth="1"/>
    <col min="7" max="7" width="22.5" bestFit="1" customWidth="1"/>
    <col min="8" max="8" width="15.875" bestFit="1" customWidth="1"/>
    <col min="9" max="9" width="15.125" bestFit="1" customWidth="1"/>
    <col min="10" max="10" width="20" bestFit="1" customWidth="1"/>
    <col min="11" max="11" width="14.125" bestFit="1" customWidth="1"/>
    <col min="12" max="12" width="17.625" bestFit="1" customWidth="1"/>
    <col min="13" max="13" width="22.5" bestFit="1" customWidth="1"/>
    <col min="14" max="14" width="15.375" bestFit="1" customWidth="1"/>
    <col min="15" max="15" width="25.125" bestFit="1" customWidth="1"/>
    <col min="16" max="17" width="1.125" customWidth="1"/>
    <col min="18" max="18" width="0" hidden="1" customWidth="1"/>
    <col min="19" max="16384" width="10.875" hidden="1"/>
  </cols>
  <sheetData>
    <row r="1" spans="2:17" ht="6.95" customHeight="1" x14ac:dyDescent="0.25"/>
    <row r="2" spans="2:17" x14ac:dyDescent="0.25">
      <c r="B2" s="360" t="s">
        <v>102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</row>
    <row r="3" spans="2:17" x14ac:dyDescent="0.25">
      <c r="B3" s="363" t="s">
        <v>128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</row>
    <row r="4" spans="2:17" ht="6.9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5">
      <c r="B5" s="4"/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6"/>
    </row>
    <row r="6" spans="2:17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</row>
    <row r="7" spans="2:17" x14ac:dyDescent="0.25">
      <c r="B7" s="4"/>
      <c r="C7" s="4"/>
      <c r="D7" s="1" t="s">
        <v>60</v>
      </c>
      <c r="E7" s="2"/>
      <c r="F7" s="2"/>
      <c r="G7" s="2"/>
      <c r="H7" s="3"/>
      <c r="I7" s="5"/>
      <c r="J7" s="5"/>
      <c r="K7" s="5"/>
      <c r="L7" s="5"/>
      <c r="M7" s="5"/>
      <c r="N7" s="5"/>
      <c r="O7" s="5"/>
      <c r="P7" s="6"/>
      <c r="Q7" s="6"/>
    </row>
    <row r="8" spans="2:17" x14ac:dyDescent="0.25">
      <c r="B8" s="4"/>
      <c r="C8" s="4"/>
      <c r="D8" s="4" t="s">
        <v>0</v>
      </c>
      <c r="E8" s="5"/>
      <c r="F8" s="5" t="s">
        <v>1</v>
      </c>
      <c r="G8" s="5" t="s">
        <v>32</v>
      </c>
      <c r="H8" s="6" t="s">
        <v>40</v>
      </c>
      <c r="I8" s="5"/>
      <c r="J8" s="5"/>
      <c r="K8" s="5"/>
      <c r="L8" s="5"/>
      <c r="M8" s="5"/>
      <c r="N8" s="5"/>
      <c r="O8" s="5"/>
      <c r="P8" s="6"/>
      <c r="Q8" s="6"/>
    </row>
    <row r="9" spans="2:17" x14ac:dyDescent="0.25">
      <c r="B9" s="4"/>
      <c r="C9" s="4"/>
      <c r="D9" s="7">
        <f>'Shelby Rates'!I13</f>
        <v>0</v>
      </c>
      <c r="E9" s="5"/>
      <c r="F9" s="8">
        <f>ROUNDUP((D9/1000),0)</f>
        <v>0</v>
      </c>
      <c r="G9" s="5">
        <v>1</v>
      </c>
      <c r="H9" s="6">
        <f>IF(F9&gt;0,'Shelby Rate Table'!E6,0)</f>
        <v>0</v>
      </c>
      <c r="I9" s="5"/>
      <c r="J9" s="5"/>
      <c r="K9" s="5"/>
      <c r="L9" s="5"/>
      <c r="M9" s="5"/>
      <c r="N9" s="5"/>
      <c r="O9" s="5"/>
      <c r="P9" s="6"/>
      <c r="Q9" s="6"/>
    </row>
    <row r="10" spans="2:17" x14ac:dyDescent="0.25">
      <c r="B10" s="4"/>
      <c r="C10" s="4"/>
      <c r="D10" s="4"/>
      <c r="E10" s="5" t="s">
        <v>41</v>
      </c>
      <c r="F10" s="5" t="s">
        <v>2</v>
      </c>
      <c r="G10" s="5" t="s">
        <v>7</v>
      </c>
      <c r="H10" s="6" t="s">
        <v>8</v>
      </c>
      <c r="I10" s="5"/>
      <c r="J10" s="5"/>
      <c r="K10" s="5"/>
      <c r="L10" s="5"/>
      <c r="M10" s="5"/>
      <c r="N10" s="5"/>
      <c r="O10" s="5"/>
      <c r="P10" s="6"/>
      <c r="Q10" s="6"/>
    </row>
    <row r="11" spans="2:17" x14ac:dyDescent="0.25">
      <c r="B11" s="4"/>
      <c r="C11" s="4"/>
      <c r="D11" s="4"/>
      <c r="E11" s="5"/>
      <c r="F11" s="8">
        <f>F9-1</f>
        <v>-1</v>
      </c>
      <c r="G11" s="8">
        <f>IF(F11&gt;99,99,F11)</f>
        <v>-1</v>
      </c>
      <c r="H11" s="6">
        <f>IF(G11&gt;0,G11*'Shelby Rate Table'!E7,0)</f>
        <v>0</v>
      </c>
      <c r="I11" s="5"/>
      <c r="J11" s="5"/>
      <c r="K11" s="5"/>
      <c r="L11" s="5"/>
      <c r="M11" s="5"/>
      <c r="N11" s="5"/>
      <c r="O11" s="5"/>
      <c r="P11" s="6"/>
      <c r="Q11" s="6"/>
    </row>
    <row r="12" spans="2:17" x14ac:dyDescent="0.25">
      <c r="B12" s="4"/>
      <c r="C12" s="4"/>
      <c r="D12" s="4"/>
      <c r="E12" s="5" t="s">
        <v>24</v>
      </c>
      <c r="F12" s="5" t="s">
        <v>9</v>
      </c>
      <c r="G12" s="5" t="s">
        <v>7</v>
      </c>
      <c r="H12" s="6" t="s">
        <v>10</v>
      </c>
      <c r="I12" s="5"/>
      <c r="J12" s="5"/>
      <c r="K12" s="5"/>
      <c r="L12" s="5"/>
      <c r="M12" s="5"/>
      <c r="N12" s="5"/>
      <c r="O12" s="5"/>
      <c r="P12" s="6"/>
      <c r="Q12" s="6"/>
    </row>
    <row r="13" spans="2:17" x14ac:dyDescent="0.25">
      <c r="B13" s="4"/>
      <c r="C13" s="4"/>
      <c r="D13" s="4" t="s">
        <v>53</v>
      </c>
      <c r="E13" s="5"/>
      <c r="F13" s="8">
        <f>F11-99</f>
        <v>-100</v>
      </c>
      <c r="G13" s="5">
        <f>IF(F13&gt;900,900,F13)</f>
        <v>-100</v>
      </c>
      <c r="H13" s="6">
        <f>IF(G13&gt;0,G13*'Shelby Rate Table'!E8,0)</f>
        <v>0</v>
      </c>
      <c r="I13" s="5"/>
      <c r="J13" s="5"/>
      <c r="K13" s="5"/>
      <c r="L13" s="5"/>
      <c r="M13" s="5"/>
      <c r="N13" s="5"/>
      <c r="O13" s="5"/>
      <c r="P13" s="6"/>
      <c r="Q13" s="6"/>
    </row>
    <row r="14" spans="2:17" x14ac:dyDescent="0.25">
      <c r="B14" s="4"/>
      <c r="C14" s="4"/>
      <c r="D14" s="4">
        <f>H16</f>
        <v>0</v>
      </c>
      <c r="E14" s="5" t="s">
        <v>48</v>
      </c>
      <c r="F14" s="5" t="s">
        <v>16</v>
      </c>
      <c r="G14" s="5" t="s">
        <v>7</v>
      </c>
      <c r="H14" s="6" t="s">
        <v>45</v>
      </c>
      <c r="I14" s="5"/>
      <c r="J14" s="5"/>
      <c r="K14" s="5"/>
      <c r="L14" s="5"/>
      <c r="M14" s="5"/>
      <c r="N14" s="5"/>
      <c r="O14" s="5"/>
      <c r="P14" s="6"/>
      <c r="Q14" s="6"/>
    </row>
    <row r="15" spans="2:17" x14ac:dyDescent="0.25">
      <c r="B15" s="4"/>
      <c r="C15" s="4"/>
      <c r="D15" s="4" t="s">
        <v>56</v>
      </c>
      <c r="E15" s="5"/>
      <c r="F15" s="8">
        <f>F13-900</f>
        <v>-1000</v>
      </c>
      <c r="G15" s="8">
        <f>F15</f>
        <v>-1000</v>
      </c>
      <c r="H15" s="6">
        <f>IF(G15&gt;0,G15*'Shelby Rate Table'!E9,0)</f>
        <v>0</v>
      </c>
      <c r="I15" s="5"/>
      <c r="J15" s="5"/>
      <c r="K15" s="5"/>
      <c r="L15" s="5"/>
      <c r="M15" s="5"/>
      <c r="N15" s="5"/>
      <c r="O15" s="5"/>
      <c r="P15" s="6"/>
      <c r="Q15" s="6"/>
    </row>
    <row r="16" spans="2:17" x14ac:dyDescent="0.25">
      <c r="B16" s="4"/>
      <c r="C16" s="4"/>
      <c r="D16" s="9">
        <f>D14*1.2</f>
        <v>0</v>
      </c>
      <c r="E16" s="10"/>
      <c r="F16" s="11" t="s">
        <v>33</v>
      </c>
      <c r="G16" s="11">
        <f>SUM(G9:G15)</f>
        <v>-1100</v>
      </c>
      <c r="H16" s="12">
        <f>SUM(H9:H15)</f>
        <v>0</v>
      </c>
      <c r="I16" s="5"/>
      <c r="J16" s="5"/>
      <c r="K16" s="5"/>
      <c r="L16" s="5"/>
      <c r="M16" s="5"/>
      <c r="N16" s="5"/>
      <c r="O16" s="5"/>
      <c r="P16" s="6"/>
      <c r="Q16" s="6"/>
    </row>
    <row r="17" spans="2:17" x14ac:dyDescent="0.25"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</row>
    <row r="18" spans="2:17" x14ac:dyDescent="0.25">
      <c r="B18" s="4"/>
      <c r="C18" s="4"/>
      <c r="D18" s="13" t="s">
        <v>61</v>
      </c>
      <c r="E18" s="3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  <c r="Q18" s="6"/>
    </row>
    <row r="19" spans="2:17" x14ac:dyDescent="0.25">
      <c r="B19" s="4"/>
      <c r="C19" s="4"/>
      <c r="D19" s="4"/>
      <c r="E19" s="6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6"/>
    </row>
    <row r="20" spans="2:17" x14ac:dyDescent="0.25">
      <c r="B20" s="4"/>
      <c r="C20" s="4"/>
      <c r="D20" s="9" t="s">
        <v>57</v>
      </c>
      <c r="E20" s="14">
        <f>ROUNDUP(('Shelby Rates'!I17/1000),0)</f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</row>
    <row r="21" spans="2:17" x14ac:dyDescent="0.25"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6"/>
    </row>
    <row r="22" spans="2:17" x14ac:dyDescent="0.25">
      <c r="B22" s="4"/>
      <c r="C22" s="4"/>
      <c r="D22" s="13" t="s">
        <v>66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  <c r="P22" s="6"/>
      <c r="Q22" s="6"/>
    </row>
    <row r="23" spans="2:17" x14ac:dyDescent="0.25">
      <c r="B23" s="4"/>
      <c r="C23" s="4"/>
      <c r="D23" s="4" t="s">
        <v>65</v>
      </c>
      <c r="E23" s="5"/>
      <c r="F23" s="8">
        <f>E20-F9</f>
        <v>0</v>
      </c>
      <c r="G23" s="5"/>
      <c r="H23" s="5"/>
      <c r="I23" s="5"/>
      <c r="J23" s="5"/>
      <c r="K23" s="5"/>
      <c r="L23" s="5"/>
      <c r="M23" s="5"/>
      <c r="N23" s="5"/>
      <c r="O23" s="6"/>
      <c r="P23" s="6"/>
      <c r="Q23" s="6"/>
    </row>
    <row r="24" spans="2:17" x14ac:dyDescent="0.25">
      <c r="B24" s="4"/>
      <c r="C24" s="4"/>
      <c r="D24" s="4"/>
      <c r="E24" s="5"/>
      <c r="F24" s="5"/>
      <c r="G24" s="5" t="s">
        <v>64</v>
      </c>
      <c r="H24" s="5" t="s">
        <v>118</v>
      </c>
      <c r="I24" s="5" t="s">
        <v>117</v>
      </c>
      <c r="J24" s="5" t="s">
        <v>120</v>
      </c>
      <c r="K24" s="17" t="s">
        <v>119</v>
      </c>
      <c r="L24" s="17" t="s">
        <v>122</v>
      </c>
      <c r="M24" s="17" t="s">
        <v>123</v>
      </c>
      <c r="N24" s="5" t="s">
        <v>71</v>
      </c>
      <c r="O24" s="6" t="s">
        <v>72</v>
      </c>
      <c r="P24" s="6"/>
      <c r="Q24" s="6"/>
    </row>
    <row r="25" spans="2:17" x14ac:dyDescent="0.25">
      <c r="B25" s="4"/>
      <c r="C25" s="4"/>
      <c r="D25" s="4">
        <v>1</v>
      </c>
      <c r="E25" s="5">
        <v>0</v>
      </c>
      <c r="F25" s="5">
        <v>1</v>
      </c>
      <c r="G25" s="5" t="b">
        <f>IF(AND(F9&gt;E25,F9&lt;=F25), TRUE, FALSE)</f>
        <v>0</v>
      </c>
      <c r="H25" s="17">
        <v>1</v>
      </c>
      <c r="I25" s="8">
        <f>IF(G25=TRUE,ABS(((F25-F9))),0)</f>
        <v>0</v>
      </c>
      <c r="J25" s="5">
        <v>0</v>
      </c>
      <c r="K25" s="132">
        <v>0</v>
      </c>
      <c r="L25" s="132"/>
      <c r="M25" s="132"/>
      <c r="N25" s="5">
        <f>IF(AND(SUM(J25:J28)&lt;0,G25=TRUE),F23*'Shelby Rate Table'!E6,IF((I25+J25+K25)&lt;0,0,(J25+I25+K25)*'Shelby Rate Table'!E6))</f>
        <v>0</v>
      </c>
      <c r="O25" s="6">
        <f>N25*1.2</f>
        <v>0</v>
      </c>
      <c r="P25" s="6"/>
      <c r="Q25" s="6"/>
    </row>
    <row r="26" spans="2:17" x14ac:dyDescent="0.25">
      <c r="B26" s="4"/>
      <c r="C26" s="4"/>
      <c r="D26" s="4">
        <v>2</v>
      </c>
      <c r="E26" s="5">
        <v>1</v>
      </c>
      <c r="F26" s="5">
        <v>100</v>
      </c>
      <c r="G26" s="5" t="b">
        <f>IF(AND(F9&gt;E26,F9&lt;=F26), TRUE, FALSE)</f>
        <v>0</v>
      </c>
      <c r="H26" s="17">
        <v>99</v>
      </c>
      <c r="I26" s="8">
        <f>IF(G26=TRUE,ABS((F26-F9)),0)</f>
        <v>0</v>
      </c>
      <c r="J26" s="5">
        <f>IF(I25&gt;0,IF((F23-I25)&gt;H26,H26,F23-I25),0)</f>
        <v>0</v>
      </c>
      <c r="K26" s="132">
        <v>0</v>
      </c>
      <c r="L26" s="132">
        <f>E20-F25</f>
        <v>-1</v>
      </c>
      <c r="M26" s="132">
        <f>IF(AND(L26&gt;0,SUM(I26:K26)=0,G25=TRUE),L26*'Shelby Rate Table'!E7,0)</f>
        <v>0</v>
      </c>
      <c r="N26" s="5">
        <f>IF(AND(SUM(J25:J28)&lt;0,G26=TRUE),F23*'Shelby Rate Table'!E7,IF((I26+J26+K26)&lt;0,0,(J26+I26+K26)*'Shelby Rate Table'!E7))</f>
        <v>0</v>
      </c>
      <c r="O26" s="6">
        <f t="shared" ref="O26:O28" si="0">N26*1.2</f>
        <v>0</v>
      </c>
      <c r="P26" s="6"/>
      <c r="Q26" s="6"/>
    </row>
    <row r="27" spans="2:17" x14ac:dyDescent="0.25">
      <c r="B27" s="4"/>
      <c r="C27" s="4"/>
      <c r="D27" s="4">
        <v>3</v>
      </c>
      <c r="E27" s="5">
        <v>100</v>
      </c>
      <c r="F27" s="5">
        <v>1000</v>
      </c>
      <c r="G27" s="5" t="b">
        <f>IF(AND(F9&gt;E27,F9&lt;=F27), TRUE, FALSE)</f>
        <v>0</v>
      </c>
      <c r="H27" s="17">
        <v>900</v>
      </c>
      <c r="I27" s="8">
        <f>IF(G27=TRUE,ABS((F27-F9)),0)</f>
        <v>0</v>
      </c>
      <c r="J27" s="5">
        <f>IF(I26&gt;0,IF((F23-I26)&gt;H27,H27,F23-I26),0)</f>
        <v>0</v>
      </c>
      <c r="K27" s="132">
        <f>IF(AND((J26+I25)&lt;F23,(J26+I25)&gt;0),F23-(J26+I25),0)</f>
        <v>0</v>
      </c>
      <c r="L27" s="132">
        <f>E20-F26</f>
        <v>-100</v>
      </c>
      <c r="M27" s="132">
        <f>IF(AND(L27&gt;0,SUM(I27:K27)=0,G26=TRUE),L27*'Shelby Rate Table'!E8,0)</f>
        <v>0</v>
      </c>
      <c r="N27" s="5">
        <f>IF(AND(SUM(J25:J28)&lt;0,G27=TRUE),F23*'Shelby Rate Table'!E8,IF((I27+J27+K27)&lt;0,0,(J27+I27+K27)*'Shelby Rate Table'!E8))</f>
        <v>0</v>
      </c>
      <c r="O27" s="6">
        <f t="shared" si="0"/>
        <v>0</v>
      </c>
      <c r="P27" s="6"/>
      <c r="Q27" s="6"/>
    </row>
    <row r="28" spans="2:17" x14ac:dyDescent="0.25">
      <c r="B28" s="4"/>
      <c r="C28" s="4"/>
      <c r="D28" s="4">
        <v>4</v>
      </c>
      <c r="E28" s="5">
        <v>1000</v>
      </c>
      <c r="F28" s="5"/>
      <c r="G28" s="5" t="b">
        <f>IF(F9&gt;E28, TRUE, FALSE)</f>
        <v>0</v>
      </c>
      <c r="H28" s="5"/>
      <c r="I28" s="8">
        <f>IF(G28=TRUE,F23,0)</f>
        <v>0</v>
      </c>
      <c r="J28" s="5">
        <f>IF(I27&gt;0,IF((F23-I27)&gt;H28,H28,F23-I27),0)</f>
        <v>0</v>
      </c>
      <c r="K28" s="132">
        <f>IF(AND((J27+I26)&lt;F23,(J27+I26)&gt;0),F23-(J27+I26),0)</f>
        <v>0</v>
      </c>
      <c r="L28" s="132">
        <f>E20-F27</f>
        <v>-1000</v>
      </c>
      <c r="M28" s="132">
        <f>IF(AND(L28&gt;0,SUM(I28:K28)=0,G27=TRUE),L28*'Shelby Rate Table'!E9,0)</f>
        <v>0</v>
      </c>
      <c r="N28" s="5">
        <f>IF(AND(SUM(J25:J28)&lt;0,G28=TRUE),F23*'Shelby Rate Table'!E9,IF((I28+J28+K28)&lt;0,0,(J28+I28+K28)*'Shelby Rate Table'!E9))</f>
        <v>0</v>
      </c>
      <c r="O28" s="6">
        <f t="shared" si="0"/>
        <v>0</v>
      </c>
      <c r="P28" s="6"/>
      <c r="Q28" s="6"/>
    </row>
    <row r="29" spans="2:17" x14ac:dyDescent="0.25">
      <c r="B29" s="4"/>
      <c r="C29" s="4"/>
      <c r="D29" s="4"/>
      <c r="E29" s="5"/>
      <c r="F29" s="5" t="s">
        <v>68</v>
      </c>
      <c r="G29" s="5"/>
      <c r="H29" s="5"/>
      <c r="I29" s="5"/>
      <c r="J29" s="5"/>
      <c r="K29" s="5"/>
      <c r="L29" s="5"/>
      <c r="M29" s="5"/>
      <c r="N29" s="180">
        <f>IF(SUM(N25:N28)&lt;0,0,((SUM(M25:M28)+(SUM(N25:N28)))))*0.7</f>
        <v>0</v>
      </c>
      <c r="O29" s="203">
        <f>N29*1.2</f>
        <v>0</v>
      </c>
      <c r="P29" s="6"/>
      <c r="Q29" s="6"/>
    </row>
    <row r="30" spans="2:17" x14ac:dyDescent="0.25">
      <c r="B30" s="4"/>
      <c r="C30" s="4"/>
      <c r="D30" s="4"/>
      <c r="E30" s="5"/>
      <c r="F30" s="5" t="s">
        <v>69</v>
      </c>
      <c r="G30" s="5"/>
      <c r="H30" s="5"/>
      <c r="I30" s="5"/>
      <c r="J30" s="5"/>
      <c r="K30" s="5"/>
      <c r="L30" s="5"/>
      <c r="M30" s="5"/>
      <c r="N30" s="15">
        <f>IF(E20&gt;0,50,0)</f>
        <v>0</v>
      </c>
      <c r="O30" s="16">
        <f>IF(E20&gt;0,50,0)</f>
        <v>0</v>
      </c>
      <c r="P30" s="6"/>
      <c r="Q30" s="6"/>
    </row>
    <row r="31" spans="2:17" x14ac:dyDescent="0.25">
      <c r="B31" s="4"/>
      <c r="C31" s="4"/>
      <c r="D31" s="9"/>
      <c r="E31" s="10"/>
      <c r="F31" s="10" t="s">
        <v>70</v>
      </c>
      <c r="G31" s="10"/>
      <c r="H31" s="10"/>
      <c r="I31" s="10"/>
      <c r="J31" s="10"/>
      <c r="K31" s="10"/>
      <c r="L31" s="10"/>
      <c r="M31" s="10"/>
      <c r="N31" s="11">
        <f>N30+N29</f>
        <v>0</v>
      </c>
      <c r="O31" s="179">
        <f>O30+O29</f>
        <v>0</v>
      </c>
      <c r="P31" s="6"/>
      <c r="Q31" s="6"/>
    </row>
    <row r="32" spans="2:17" x14ac:dyDescent="0.25"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6"/>
    </row>
    <row r="33" spans="2:17" x14ac:dyDescent="0.25">
      <c r="B33" s="4"/>
      <c r="C33" s="4"/>
      <c r="D33" s="13" t="s">
        <v>75</v>
      </c>
      <c r="E33" s="2"/>
      <c r="F33" s="2"/>
      <c r="G33" s="2"/>
      <c r="H33" s="2"/>
      <c r="I33" s="3"/>
      <c r="J33" s="5"/>
      <c r="K33" s="5"/>
      <c r="L33" s="5"/>
      <c r="M33" s="5"/>
      <c r="N33" s="5"/>
      <c r="O33" s="5"/>
      <c r="P33" s="6"/>
      <c r="Q33" s="6"/>
    </row>
    <row r="34" spans="2:17" x14ac:dyDescent="0.25">
      <c r="B34" s="4"/>
      <c r="C34" s="4"/>
      <c r="D34" s="4"/>
      <c r="E34" s="5"/>
      <c r="F34" s="5"/>
      <c r="G34" s="5"/>
      <c r="H34" s="5"/>
      <c r="I34" s="6"/>
      <c r="J34" s="5"/>
      <c r="K34" s="5"/>
      <c r="L34" s="5"/>
      <c r="M34" s="5"/>
      <c r="N34" s="5"/>
      <c r="O34" s="5"/>
      <c r="P34" s="6"/>
      <c r="Q34" s="6"/>
    </row>
    <row r="35" spans="2:17" x14ac:dyDescent="0.25">
      <c r="B35" s="4"/>
      <c r="C35" s="4"/>
      <c r="D35" s="4" t="s">
        <v>0</v>
      </c>
      <c r="E35" s="5"/>
      <c r="F35" s="5" t="s">
        <v>1</v>
      </c>
      <c r="G35" s="5" t="s">
        <v>32</v>
      </c>
      <c r="H35" s="5" t="s">
        <v>40</v>
      </c>
      <c r="I35" s="19" t="s">
        <v>87</v>
      </c>
      <c r="J35" s="5"/>
      <c r="K35" s="5"/>
      <c r="L35" s="5"/>
      <c r="M35" s="5"/>
      <c r="N35" s="5"/>
      <c r="O35" s="5"/>
      <c r="P35" s="6"/>
      <c r="Q35" s="6"/>
    </row>
    <row r="36" spans="2:17" x14ac:dyDescent="0.25">
      <c r="B36" s="4"/>
      <c r="C36" s="4"/>
      <c r="D36" s="7">
        <f>IF('Shelby Rates'!I15&gt;'Shelby Rates'!I13,'Shelby Rates'!I13,'Shelby Rates'!I15)</f>
        <v>0</v>
      </c>
      <c r="E36" s="5"/>
      <c r="F36" s="8">
        <f>ROUNDUP((D36/1000),0)</f>
        <v>0</v>
      </c>
      <c r="G36" s="5">
        <v>1</v>
      </c>
      <c r="H36" s="5">
        <f>IF(F36&gt;0,'Shelby Rate Table'!E6,0)</f>
        <v>0</v>
      </c>
      <c r="I36" s="6">
        <f>H36*1.2</f>
        <v>0</v>
      </c>
      <c r="J36" s="5"/>
      <c r="K36" s="5"/>
      <c r="L36" s="5"/>
      <c r="M36" s="5"/>
      <c r="N36" s="5"/>
      <c r="O36" s="5"/>
      <c r="P36" s="6"/>
      <c r="Q36" s="6"/>
    </row>
    <row r="37" spans="2:17" x14ac:dyDescent="0.25">
      <c r="B37" s="4"/>
      <c r="C37" s="4"/>
      <c r="D37" s="4"/>
      <c r="E37" s="5" t="s">
        <v>41</v>
      </c>
      <c r="F37" s="5" t="s">
        <v>2</v>
      </c>
      <c r="G37" s="5" t="s">
        <v>7</v>
      </c>
      <c r="H37" s="5" t="s">
        <v>8</v>
      </c>
      <c r="I37" s="6"/>
      <c r="J37" s="5"/>
      <c r="K37" s="5"/>
      <c r="L37" s="5"/>
      <c r="M37" s="5"/>
      <c r="N37" s="5"/>
      <c r="O37" s="5"/>
      <c r="P37" s="6"/>
      <c r="Q37" s="6"/>
    </row>
    <row r="38" spans="2:17" x14ac:dyDescent="0.25">
      <c r="B38" s="4"/>
      <c r="C38" s="4"/>
      <c r="D38" s="4"/>
      <c r="E38" s="5"/>
      <c r="F38" s="8">
        <f>F36-1</f>
        <v>-1</v>
      </c>
      <c r="G38" s="8">
        <f>IF(F38&gt;99,99,F38)</f>
        <v>-1</v>
      </c>
      <c r="H38" s="5">
        <f>IF(G38&gt;0,G38*'Shelby Rate Table'!E7,0)</f>
        <v>0</v>
      </c>
      <c r="I38" s="6">
        <f t="shared" ref="I38:I42" si="1">H38*1.2</f>
        <v>0</v>
      </c>
      <c r="J38" s="5"/>
      <c r="K38" s="5"/>
      <c r="L38" s="5"/>
      <c r="M38" s="5"/>
      <c r="N38" s="5"/>
      <c r="O38" s="5"/>
      <c r="P38" s="6"/>
      <c r="Q38" s="6"/>
    </row>
    <row r="39" spans="2:17" x14ac:dyDescent="0.25">
      <c r="B39" s="4"/>
      <c r="C39" s="4"/>
      <c r="D39" s="4"/>
      <c r="E39" s="5" t="s">
        <v>24</v>
      </c>
      <c r="F39" s="5" t="s">
        <v>9</v>
      </c>
      <c r="G39" s="5" t="s">
        <v>7</v>
      </c>
      <c r="H39" s="5" t="s">
        <v>10</v>
      </c>
      <c r="I39" s="6"/>
      <c r="J39" s="5"/>
      <c r="K39" s="5"/>
      <c r="L39" s="5"/>
      <c r="M39" s="5"/>
      <c r="N39" s="5"/>
      <c r="O39" s="5"/>
      <c r="P39" s="6"/>
      <c r="Q39" s="6"/>
    </row>
    <row r="40" spans="2:17" x14ac:dyDescent="0.25">
      <c r="B40" s="4"/>
      <c r="C40" s="4"/>
      <c r="D40" s="4"/>
      <c r="E40" s="5"/>
      <c r="F40" s="8">
        <f>F38-99</f>
        <v>-100</v>
      </c>
      <c r="G40" s="5">
        <f>IF(F40&gt;900,900,F40)</f>
        <v>-100</v>
      </c>
      <c r="H40" s="5">
        <f>IF(G40&gt;0,G40*'Shelby Rate Table'!E8,0)</f>
        <v>0</v>
      </c>
      <c r="I40" s="6">
        <f t="shared" si="1"/>
        <v>0</v>
      </c>
      <c r="J40" s="5"/>
      <c r="K40" s="5"/>
      <c r="L40" s="5"/>
      <c r="M40" s="5"/>
      <c r="N40" s="5"/>
      <c r="O40" s="5"/>
      <c r="P40" s="6"/>
      <c r="Q40" s="6"/>
    </row>
    <row r="41" spans="2:17" x14ac:dyDescent="0.25">
      <c r="B41" s="4"/>
      <c r="C41" s="4"/>
      <c r="D41" s="4"/>
      <c r="E41" s="5" t="s">
        <v>48</v>
      </c>
      <c r="F41" s="5" t="s">
        <v>16</v>
      </c>
      <c r="G41" s="5" t="s">
        <v>7</v>
      </c>
      <c r="H41" s="5" t="s">
        <v>45</v>
      </c>
      <c r="I41" s="6"/>
      <c r="J41" s="5"/>
      <c r="K41" s="5"/>
      <c r="L41" s="5"/>
      <c r="M41" s="5"/>
      <c r="N41" s="5"/>
      <c r="O41" s="5"/>
      <c r="P41" s="6"/>
      <c r="Q41" s="6"/>
    </row>
    <row r="42" spans="2:17" x14ac:dyDescent="0.25">
      <c r="B42" s="4"/>
      <c r="C42" s="4"/>
      <c r="D42" s="4"/>
      <c r="E42" s="5"/>
      <c r="F42" s="8">
        <f>F40-900</f>
        <v>-1000</v>
      </c>
      <c r="G42" s="8">
        <f>F42</f>
        <v>-1000</v>
      </c>
      <c r="H42" s="5">
        <f>IF(G42&gt;0,G42*'Shelby Rate Table'!E9,0)</f>
        <v>0</v>
      </c>
      <c r="I42" s="6">
        <f t="shared" si="1"/>
        <v>0</v>
      </c>
      <c r="J42" s="5"/>
      <c r="K42" s="5"/>
      <c r="L42" s="5"/>
      <c r="M42" s="5"/>
      <c r="N42" s="5"/>
      <c r="O42" s="5"/>
      <c r="P42" s="6"/>
      <c r="Q42" s="6"/>
    </row>
    <row r="43" spans="2:17" x14ac:dyDescent="0.25">
      <c r="B43" s="4"/>
      <c r="C43" s="4"/>
      <c r="D43" s="4"/>
      <c r="E43" s="5"/>
      <c r="F43" s="15" t="s">
        <v>33</v>
      </c>
      <c r="G43" s="15">
        <f>SUM(G36:G42)</f>
        <v>-1100</v>
      </c>
      <c r="H43" s="15">
        <f>IF(D36&gt;=1000,SUM(H36:H42),0)</f>
        <v>0</v>
      </c>
      <c r="I43" s="16">
        <f>IF(D36&gt;=1000,SUM(I36:I42),0)</f>
        <v>0</v>
      </c>
      <c r="J43" s="5"/>
      <c r="K43" s="5"/>
      <c r="L43" s="5"/>
      <c r="M43" s="5"/>
      <c r="N43" s="5"/>
      <c r="O43" s="5"/>
      <c r="P43" s="6"/>
      <c r="Q43" s="6"/>
    </row>
    <row r="44" spans="2:17" x14ac:dyDescent="0.25">
      <c r="B44" s="4"/>
      <c r="C44" s="4"/>
      <c r="D44" s="9"/>
      <c r="E44" s="10"/>
      <c r="F44" s="11" t="s">
        <v>74</v>
      </c>
      <c r="G44" s="10"/>
      <c r="H44" s="11">
        <f>H43*0.3</f>
        <v>0</v>
      </c>
      <c r="I44" s="12">
        <f>I43*0.3</f>
        <v>0</v>
      </c>
      <c r="J44" s="5"/>
      <c r="K44" s="5"/>
      <c r="L44" s="5"/>
      <c r="M44" s="5"/>
      <c r="N44" s="5"/>
      <c r="O44" s="5"/>
      <c r="P44" s="6"/>
      <c r="Q44" s="6"/>
    </row>
    <row r="45" spans="2:17" x14ac:dyDescent="0.25">
      <c r="B45" s="4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20"/>
      <c r="Q45" s="6"/>
    </row>
    <row r="46" spans="2:17" x14ac:dyDescent="0.25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/>
    </row>
    <row r="47" spans="2:17" x14ac:dyDescent="0.25">
      <c r="B47" s="4"/>
      <c r="C47" s="1" t="s">
        <v>82</v>
      </c>
      <c r="D47" s="2"/>
      <c r="E47" s="2"/>
      <c r="F47" s="2"/>
      <c r="G47" s="2"/>
      <c r="H47" s="2"/>
      <c r="I47" s="2"/>
      <c r="J47" s="2"/>
      <c r="K47" s="3"/>
      <c r="L47" s="5"/>
      <c r="M47" s="5"/>
      <c r="N47" s="5"/>
      <c r="O47" s="5"/>
      <c r="P47" s="5"/>
      <c r="Q47" s="6"/>
    </row>
    <row r="48" spans="2:17" x14ac:dyDescent="0.25">
      <c r="B48" s="4"/>
      <c r="C48" s="4"/>
      <c r="D48" s="1" t="s">
        <v>83</v>
      </c>
      <c r="E48" s="2"/>
      <c r="F48" s="2"/>
      <c r="G48" s="2"/>
      <c r="H48" s="2"/>
      <c r="I48" s="2"/>
      <c r="J48" s="3"/>
      <c r="K48" s="6"/>
      <c r="L48" s="5"/>
      <c r="M48" s="5"/>
      <c r="N48" s="5"/>
      <c r="O48" s="5"/>
      <c r="P48" s="5"/>
      <c r="Q48" s="6"/>
    </row>
    <row r="49" spans="2:17" x14ac:dyDescent="0.25">
      <c r="B49" s="4"/>
      <c r="C49" s="4"/>
      <c r="D49" s="4"/>
      <c r="E49" s="5"/>
      <c r="F49" s="5"/>
      <c r="G49" s="5"/>
      <c r="H49" s="5"/>
      <c r="I49" s="5"/>
      <c r="J49" s="6"/>
      <c r="K49" s="6"/>
      <c r="L49" s="5"/>
      <c r="M49" s="5"/>
      <c r="N49" s="5"/>
      <c r="O49" s="5"/>
      <c r="P49" s="5"/>
      <c r="Q49" s="6"/>
    </row>
    <row r="50" spans="2:17" x14ac:dyDescent="0.25">
      <c r="B50" s="4"/>
      <c r="C50" s="4"/>
      <c r="D50" s="4" t="s">
        <v>0</v>
      </c>
      <c r="E50" s="5"/>
      <c r="F50" s="5" t="s">
        <v>1</v>
      </c>
      <c r="G50" s="5" t="s">
        <v>32</v>
      </c>
      <c r="H50" s="5" t="s">
        <v>40</v>
      </c>
      <c r="I50" s="17" t="s">
        <v>87</v>
      </c>
      <c r="J50" s="6"/>
      <c r="K50" s="6"/>
      <c r="L50" s="5"/>
      <c r="M50" s="5"/>
      <c r="N50" s="5"/>
      <c r="O50" s="5"/>
      <c r="P50" s="5"/>
      <c r="Q50" s="6"/>
    </row>
    <row r="51" spans="2:17" x14ac:dyDescent="0.25">
      <c r="B51" s="4"/>
      <c r="C51" s="4"/>
      <c r="D51" s="7">
        <f>'Shelby Rates'!T15</f>
        <v>0</v>
      </c>
      <c r="E51" s="5"/>
      <c r="F51" s="8">
        <f>ROUNDUP((D51/1000),0)</f>
        <v>0</v>
      </c>
      <c r="G51" s="5">
        <v>1</v>
      </c>
      <c r="H51" s="5">
        <f>'Shelby Rate Table'!E6</f>
        <v>200</v>
      </c>
      <c r="I51" s="5">
        <f>H51*1.2</f>
        <v>240</v>
      </c>
      <c r="J51" s="6"/>
      <c r="K51" s="6"/>
      <c r="L51" s="5"/>
      <c r="M51" s="5"/>
      <c r="N51" s="5"/>
      <c r="O51" s="5"/>
      <c r="P51" s="5"/>
      <c r="Q51" s="6"/>
    </row>
    <row r="52" spans="2:17" x14ac:dyDescent="0.25">
      <c r="B52" s="4"/>
      <c r="C52" s="4"/>
      <c r="D52" s="4"/>
      <c r="E52" s="5" t="s">
        <v>41</v>
      </c>
      <c r="F52" s="5" t="s">
        <v>2</v>
      </c>
      <c r="G52" s="5" t="s">
        <v>7</v>
      </c>
      <c r="H52" s="5" t="s">
        <v>8</v>
      </c>
      <c r="I52" s="5"/>
      <c r="J52" s="6"/>
      <c r="K52" s="6"/>
      <c r="L52" s="5"/>
      <c r="M52" s="5"/>
      <c r="N52" s="5"/>
      <c r="O52" s="5"/>
      <c r="P52" s="5"/>
      <c r="Q52" s="6"/>
    </row>
    <row r="53" spans="2:17" x14ac:dyDescent="0.25">
      <c r="B53" s="4"/>
      <c r="C53" s="4"/>
      <c r="D53" s="4"/>
      <c r="E53" s="5"/>
      <c r="F53" s="8">
        <f>F51-1</f>
        <v>-1</v>
      </c>
      <c r="G53" s="8">
        <f>IF(F53&gt;99,99,F53)</f>
        <v>-1</v>
      </c>
      <c r="H53" s="5">
        <f>IF(G53&gt;0,G53*'Shelby Rate Table'!E7,0)</f>
        <v>0</v>
      </c>
      <c r="I53" s="5">
        <f t="shared" ref="I53" si="2">H53*1.2</f>
        <v>0</v>
      </c>
      <c r="J53" s="6"/>
      <c r="K53" s="6"/>
      <c r="L53" s="5"/>
      <c r="M53" s="5"/>
      <c r="N53" s="5"/>
      <c r="O53" s="5"/>
      <c r="P53" s="5"/>
      <c r="Q53" s="6"/>
    </row>
    <row r="54" spans="2:17" x14ac:dyDescent="0.25">
      <c r="B54" s="4"/>
      <c r="C54" s="4"/>
      <c r="D54" s="4" t="s">
        <v>94</v>
      </c>
      <c r="E54" s="5" t="s">
        <v>24</v>
      </c>
      <c r="F54" s="5" t="s">
        <v>9</v>
      </c>
      <c r="G54" s="5" t="s">
        <v>7</v>
      </c>
      <c r="H54" s="5" t="s">
        <v>10</v>
      </c>
      <c r="I54" s="5"/>
      <c r="J54" s="6"/>
      <c r="K54" s="6"/>
      <c r="L54" s="5"/>
      <c r="M54" s="5"/>
      <c r="N54" s="5"/>
      <c r="O54" s="5"/>
      <c r="P54" s="5"/>
      <c r="Q54" s="6"/>
    </row>
    <row r="55" spans="2:17" x14ac:dyDescent="0.25">
      <c r="B55" s="4"/>
      <c r="C55" s="4"/>
      <c r="D55" s="4">
        <f>H58</f>
        <v>0</v>
      </c>
      <c r="E55" s="5"/>
      <c r="F55" s="8">
        <f>F53-99</f>
        <v>-100</v>
      </c>
      <c r="G55" s="5">
        <f>IF(F55&gt;900,900,F55)</f>
        <v>-100</v>
      </c>
      <c r="H55" s="5">
        <f>IF(G55&gt;0,G55*'Shelby Rate Table'!E8,0)</f>
        <v>0</v>
      </c>
      <c r="I55" s="5">
        <f t="shared" ref="I55" si="3">H55*1.2</f>
        <v>0</v>
      </c>
      <c r="J55" s="6"/>
      <c r="K55" s="6"/>
      <c r="L55" s="5"/>
      <c r="M55" s="5"/>
      <c r="N55" s="5"/>
      <c r="O55" s="5"/>
      <c r="P55" s="5"/>
      <c r="Q55" s="6"/>
    </row>
    <row r="56" spans="2:17" x14ac:dyDescent="0.25">
      <c r="B56" s="4"/>
      <c r="C56" s="4"/>
      <c r="D56" s="4" t="s">
        <v>52</v>
      </c>
      <c r="E56" s="5" t="s">
        <v>48</v>
      </c>
      <c r="F56" s="5" t="s">
        <v>16</v>
      </c>
      <c r="G56" s="5" t="s">
        <v>7</v>
      </c>
      <c r="H56" s="5" t="s">
        <v>45</v>
      </c>
      <c r="I56" s="5"/>
      <c r="J56" s="16"/>
      <c r="K56" s="6"/>
      <c r="L56" s="5"/>
      <c r="M56" s="5"/>
      <c r="N56" s="5"/>
      <c r="O56" s="5"/>
      <c r="P56" s="5"/>
      <c r="Q56" s="6"/>
    </row>
    <row r="57" spans="2:17" x14ac:dyDescent="0.25">
      <c r="B57" s="4"/>
      <c r="C57" s="4"/>
      <c r="D57" s="4">
        <f>(D55*1.2)</f>
        <v>0</v>
      </c>
      <c r="E57" s="5"/>
      <c r="F57" s="8">
        <f>F55-900</f>
        <v>-1000</v>
      </c>
      <c r="G57" s="8">
        <f>F57</f>
        <v>-1000</v>
      </c>
      <c r="H57" s="5">
        <f>IF(G57&gt;0,G57*'Shelby Rate Table'!E9,0)</f>
        <v>0</v>
      </c>
      <c r="I57" s="5">
        <f t="shared" ref="I57" si="4">H57*1.2</f>
        <v>0</v>
      </c>
      <c r="J57" s="6"/>
      <c r="K57" s="6"/>
      <c r="L57" s="5"/>
      <c r="M57" s="5"/>
      <c r="N57" s="5"/>
      <c r="O57" s="5"/>
      <c r="P57" s="5"/>
      <c r="Q57" s="6"/>
    </row>
    <row r="58" spans="2:17" x14ac:dyDescent="0.25">
      <c r="B58" s="4"/>
      <c r="C58" s="4"/>
      <c r="D58" s="9"/>
      <c r="E58" s="10"/>
      <c r="F58" s="91" t="s">
        <v>33</v>
      </c>
      <c r="G58" s="91">
        <f>SUM(G51:G57)</f>
        <v>-1100</v>
      </c>
      <c r="H58" s="11">
        <f>IF(D51&gt;0,(SUM(H51:H57)*0.7),0)</f>
        <v>0</v>
      </c>
      <c r="I58" s="10"/>
      <c r="J58" s="20"/>
      <c r="K58" s="6"/>
      <c r="L58" s="5"/>
      <c r="M58" s="5"/>
      <c r="N58" s="5"/>
      <c r="O58" s="5"/>
      <c r="P58" s="5"/>
      <c r="Q58" s="6"/>
    </row>
    <row r="59" spans="2:17" x14ac:dyDescent="0.25">
      <c r="B59" s="4"/>
      <c r="C59" s="4"/>
      <c r="D59" s="1" t="s">
        <v>148</v>
      </c>
      <c r="E59" s="2"/>
      <c r="F59" s="2"/>
      <c r="G59" s="2"/>
      <c r="H59" s="2"/>
      <c r="I59" s="2"/>
      <c r="J59" s="3"/>
      <c r="K59" s="6"/>
      <c r="L59" s="5"/>
      <c r="M59" s="5"/>
      <c r="N59" s="5"/>
      <c r="O59" s="5"/>
      <c r="P59" s="5"/>
      <c r="Q59" s="6"/>
    </row>
    <row r="60" spans="2:17" x14ac:dyDescent="0.25">
      <c r="B60" s="4"/>
      <c r="C60" s="4"/>
      <c r="D60" s="4"/>
      <c r="E60" s="5"/>
      <c r="F60" s="5"/>
      <c r="G60" s="5"/>
      <c r="H60" s="5"/>
      <c r="I60" s="5"/>
      <c r="J60" s="6"/>
      <c r="K60" s="6"/>
      <c r="L60" s="5"/>
      <c r="M60" s="5"/>
      <c r="N60" s="5"/>
      <c r="O60" s="5"/>
      <c r="P60" s="5"/>
      <c r="Q60" s="6"/>
    </row>
    <row r="61" spans="2:17" x14ac:dyDescent="0.25">
      <c r="B61" s="4"/>
      <c r="C61" s="4"/>
      <c r="D61" s="4" t="s">
        <v>0</v>
      </c>
      <c r="E61" s="5"/>
      <c r="F61" s="5" t="s">
        <v>1</v>
      </c>
      <c r="G61" s="5" t="s">
        <v>32</v>
      </c>
      <c r="H61" s="5" t="s">
        <v>40</v>
      </c>
      <c r="I61" s="17" t="s">
        <v>87</v>
      </c>
      <c r="J61" s="6"/>
      <c r="K61" s="6"/>
      <c r="L61" s="5"/>
      <c r="M61" s="5"/>
      <c r="N61" s="5"/>
      <c r="O61" s="5"/>
      <c r="P61" s="5"/>
      <c r="Q61" s="6"/>
    </row>
    <row r="62" spans="2:17" x14ac:dyDescent="0.25">
      <c r="B62" s="4"/>
      <c r="C62" s="4"/>
      <c r="D62" s="7">
        <f>'Shelby Rates'!T13</f>
        <v>0</v>
      </c>
      <c r="E62" s="5"/>
      <c r="F62" s="8">
        <f>ROUNDUP((D62/1000),0)</f>
        <v>0</v>
      </c>
      <c r="G62" s="5">
        <v>1</v>
      </c>
      <c r="H62" s="5">
        <f>'Shelby Rate Table'!E6</f>
        <v>200</v>
      </c>
      <c r="I62" s="5">
        <f>H62*1.2</f>
        <v>240</v>
      </c>
      <c r="J62" s="6"/>
      <c r="K62" s="6"/>
      <c r="L62" s="5"/>
      <c r="M62" s="5"/>
      <c r="N62" s="5"/>
      <c r="O62" s="5"/>
      <c r="P62" s="5"/>
      <c r="Q62" s="6"/>
    </row>
    <row r="63" spans="2:17" x14ac:dyDescent="0.25">
      <c r="B63" s="4"/>
      <c r="C63" s="4"/>
      <c r="D63" s="4"/>
      <c r="E63" s="5" t="s">
        <v>41</v>
      </c>
      <c r="F63" s="5" t="s">
        <v>2</v>
      </c>
      <c r="G63" s="5" t="s">
        <v>7</v>
      </c>
      <c r="H63" s="5" t="s">
        <v>8</v>
      </c>
      <c r="I63" s="5"/>
      <c r="J63" s="6"/>
      <c r="K63" s="6"/>
      <c r="L63" s="5"/>
      <c r="M63" s="5"/>
      <c r="N63" s="5"/>
      <c r="O63" s="5"/>
      <c r="P63" s="5"/>
      <c r="Q63" s="6"/>
    </row>
    <row r="64" spans="2:17" x14ac:dyDescent="0.25">
      <c r="B64" s="4"/>
      <c r="C64" s="4"/>
      <c r="D64" s="4"/>
      <c r="E64" s="5"/>
      <c r="F64" s="8">
        <f>F62-1</f>
        <v>-1</v>
      </c>
      <c r="G64" s="8">
        <f>IF(F64&gt;99,99,F64)</f>
        <v>-1</v>
      </c>
      <c r="H64" s="5">
        <f>IF(G64&gt;0,G64*'Shelby Rate Table'!E7,0)</f>
        <v>0</v>
      </c>
      <c r="I64" s="5">
        <f t="shared" ref="I64" si="5">H64*1.2</f>
        <v>0</v>
      </c>
      <c r="J64" s="6"/>
      <c r="K64" s="6"/>
      <c r="L64" s="5"/>
      <c r="M64" s="5"/>
      <c r="N64" s="5"/>
      <c r="O64" s="5"/>
      <c r="P64" s="5"/>
      <c r="Q64" s="6"/>
    </row>
    <row r="65" spans="2:17" x14ac:dyDescent="0.25">
      <c r="B65" s="4"/>
      <c r="C65" s="4"/>
      <c r="D65" s="4" t="s">
        <v>94</v>
      </c>
      <c r="E65" s="5" t="s">
        <v>24</v>
      </c>
      <c r="F65" s="5" t="s">
        <v>9</v>
      </c>
      <c r="G65" s="5" t="s">
        <v>7</v>
      </c>
      <c r="H65" s="5" t="s">
        <v>10</v>
      </c>
      <c r="I65" s="5"/>
      <c r="J65" s="6"/>
      <c r="K65" s="6"/>
      <c r="L65" s="5"/>
      <c r="M65" s="5"/>
      <c r="N65" s="5"/>
      <c r="O65" s="5"/>
      <c r="P65" s="5"/>
      <c r="Q65" s="6"/>
    </row>
    <row r="66" spans="2:17" x14ac:dyDescent="0.25">
      <c r="B66" s="4"/>
      <c r="C66" s="4"/>
      <c r="D66" s="4">
        <f>H69</f>
        <v>0</v>
      </c>
      <c r="E66" s="5"/>
      <c r="F66" s="8">
        <f>F64-99</f>
        <v>-100</v>
      </c>
      <c r="G66" s="5">
        <f>IF(F66&gt;900,900,F66)</f>
        <v>-100</v>
      </c>
      <c r="H66" s="5">
        <f>IF(G66&gt;0,G66*'Shelby Rate Table'!E8,0)</f>
        <v>0</v>
      </c>
      <c r="I66" s="5">
        <f t="shared" ref="I66" si="6">H66*1.2</f>
        <v>0</v>
      </c>
      <c r="J66" s="6"/>
      <c r="K66" s="6"/>
      <c r="L66" s="5"/>
      <c r="M66" s="5"/>
      <c r="N66" s="5"/>
      <c r="O66" s="5"/>
      <c r="P66" s="5"/>
      <c r="Q66" s="6"/>
    </row>
    <row r="67" spans="2:17" x14ac:dyDescent="0.25">
      <c r="B67" s="4"/>
      <c r="C67" s="4"/>
      <c r="D67" s="4" t="s">
        <v>52</v>
      </c>
      <c r="E67" s="5" t="s">
        <v>48</v>
      </c>
      <c r="F67" s="5" t="s">
        <v>16</v>
      </c>
      <c r="G67" s="5" t="s">
        <v>7</v>
      </c>
      <c r="H67" s="5" t="s">
        <v>45</v>
      </c>
      <c r="I67" s="5"/>
      <c r="J67" s="16"/>
      <c r="K67" s="6"/>
      <c r="L67" s="5"/>
      <c r="M67" s="5"/>
      <c r="N67" s="5"/>
      <c r="O67" s="5"/>
      <c r="P67" s="5"/>
      <c r="Q67" s="6"/>
    </row>
    <row r="68" spans="2:17" x14ac:dyDescent="0.25">
      <c r="B68" s="4"/>
      <c r="C68" s="4"/>
      <c r="D68" s="4">
        <f>D66*1.2</f>
        <v>0</v>
      </c>
      <c r="E68" s="5"/>
      <c r="F68" s="8">
        <f>F66-900</f>
        <v>-1000</v>
      </c>
      <c r="G68" s="8">
        <f>F68</f>
        <v>-1000</v>
      </c>
      <c r="H68" s="5">
        <f>IF(G68&gt;0,G68*'Shelby Rate Table'!E9,0)</f>
        <v>0</v>
      </c>
      <c r="I68" s="5">
        <f t="shared" ref="I68" si="7">H68*1.2</f>
        <v>0</v>
      </c>
      <c r="J68" s="6"/>
      <c r="K68" s="6"/>
      <c r="L68" s="5"/>
      <c r="M68" s="5"/>
      <c r="N68" s="5"/>
      <c r="O68" s="5"/>
      <c r="P68" s="5"/>
      <c r="Q68" s="6"/>
    </row>
    <row r="69" spans="2:17" x14ac:dyDescent="0.25">
      <c r="B69" s="4"/>
      <c r="C69" s="4"/>
      <c r="D69" s="9"/>
      <c r="E69" s="10"/>
      <c r="F69" s="91" t="s">
        <v>33</v>
      </c>
      <c r="G69" s="91">
        <f>SUM(G62:G68)</f>
        <v>-1100</v>
      </c>
      <c r="H69" s="11">
        <f>IF(D62&gt;0,(SUM(H62:H68)),0)</f>
        <v>0</v>
      </c>
      <c r="I69" s="10"/>
      <c r="J69" s="20"/>
      <c r="K69" s="6"/>
      <c r="L69" s="5"/>
      <c r="M69" s="5"/>
      <c r="N69" s="5"/>
      <c r="O69" s="5"/>
      <c r="P69" s="5"/>
      <c r="Q69" s="6"/>
    </row>
    <row r="70" spans="2:17" x14ac:dyDescent="0.25">
      <c r="B70" s="4"/>
      <c r="C70" s="4"/>
      <c r="D70" s="1" t="s">
        <v>167</v>
      </c>
      <c r="E70" s="2"/>
      <c r="F70" s="2"/>
      <c r="G70" s="2"/>
      <c r="H70" s="2"/>
      <c r="I70" s="2"/>
      <c r="J70" s="3"/>
      <c r="K70" s="6"/>
      <c r="L70" s="5"/>
      <c r="M70" s="5"/>
      <c r="N70" s="5"/>
      <c r="O70" s="5"/>
      <c r="P70" s="5"/>
      <c r="Q70" s="6"/>
    </row>
    <row r="71" spans="2:17" x14ac:dyDescent="0.25">
      <c r="B71" s="4"/>
      <c r="C71" s="4"/>
      <c r="D71" s="4"/>
      <c r="E71" s="5"/>
      <c r="F71" s="5"/>
      <c r="G71" s="5"/>
      <c r="H71" s="5"/>
      <c r="I71" s="5"/>
      <c r="J71" s="6"/>
      <c r="K71" s="6"/>
      <c r="L71" s="5"/>
      <c r="M71" s="5"/>
      <c r="N71" s="5"/>
      <c r="O71" s="5"/>
      <c r="P71" s="5"/>
      <c r="Q71" s="6"/>
    </row>
    <row r="72" spans="2:17" x14ac:dyDescent="0.25">
      <c r="B72" s="4"/>
      <c r="C72" s="4"/>
      <c r="D72" s="4" t="s">
        <v>0</v>
      </c>
      <c r="E72" s="5"/>
      <c r="F72" s="5" t="s">
        <v>1</v>
      </c>
      <c r="G72" s="5" t="s">
        <v>32</v>
      </c>
      <c r="H72" s="5" t="s">
        <v>40</v>
      </c>
      <c r="I72" s="17" t="s">
        <v>87</v>
      </c>
      <c r="J72" s="6"/>
      <c r="K72" s="6"/>
      <c r="L72" s="5"/>
      <c r="M72" s="5"/>
      <c r="N72" s="5"/>
      <c r="O72" s="5"/>
      <c r="P72" s="5"/>
      <c r="Q72" s="6"/>
    </row>
    <row r="73" spans="2:17" x14ac:dyDescent="0.25">
      <c r="B73" s="4"/>
      <c r="C73" s="4"/>
      <c r="D73" s="7">
        <f>'Shelby Rates'!I17</f>
        <v>0</v>
      </c>
      <c r="E73" s="5"/>
      <c r="F73" s="8">
        <f>ROUNDUP((D73/1000),0)</f>
        <v>0</v>
      </c>
      <c r="G73" s="5">
        <v>1</v>
      </c>
      <c r="H73" s="5">
        <f>'Shelby Rate Table'!E6</f>
        <v>200</v>
      </c>
      <c r="I73" s="5">
        <f>H73*1.2</f>
        <v>240</v>
      </c>
      <c r="J73" s="6"/>
      <c r="K73" s="6"/>
      <c r="L73" s="5"/>
      <c r="M73" s="5"/>
      <c r="N73" s="5"/>
      <c r="O73" s="5"/>
      <c r="P73" s="5"/>
      <c r="Q73" s="6"/>
    </row>
    <row r="74" spans="2:17" x14ac:dyDescent="0.25">
      <c r="B74" s="4"/>
      <c r="C74" s="4"/>
      <c r="D74" s="4"/>
      <c r="E74" s="5" t="s">
        <v>41</v>
      </c>
      <c r="F74" s="5" t="s">
        <v>2</v>
      </c>
      <c r="G74" s="5" t="s">
        <v>7</v>
      </c>
      <c r="H74" s="5" t="s">
        <v>8</v>
      </c>
      <c r="I74" s="5"/>
      <c r="J74" s="6"/>
      <c r="K74" s="6"/>
      <c r="L74" s="5"/>
      <c r="M74" s="5"/>
      <c r="N74" s="5"/>
      <c r="O74" s="5"/>
      <c r="P74" s="5"/>
      <c r="Q74" s="6"/>
    </row>
    <row r="75" spans="2:17" x14ac:dyDescent="0.25">
      <c r="B75" s="4"/>
      <c r="C75" s="4"/>
      <c r="D75" s="4"/>
      <c r="E75" s="5"/>
      <c r="F75" s="8">
        <f>F73-1</f>
        <v>-1</v>
      </c>
      <c r="G75" s="8">
        <f>IF(F75&gt;99,99,F75)</f>
        <v>-1</v>
      </c>
      <c r="H75" s="5">
        <f>IF(G75&gt;0,G75*'Shelby Rate Table'!E7,0)</f>
        <v>0</v>
      </c>
      <c r="I75" s="5">
        <f t="shared" ref="I75" si="8">H75*1.2</f>
        <v>0</v>
      </c>
      <c r="J75" s="6"/>
      <c r="K75" s="6"/>
      <c r="L75" s="5"/>
      <c r="M75" s="5"/>
      <c r="N75" s="5"/>
      <c r="O75" s="5"/>
      <c r="P75" s="5"/>
      <c r="Q75" s="6"/>
    </row>
    <row r="76" spans="2:17" x14ac:dyDescent="0.25">
      <c r="B76" s="4"/>
      <c r="C76" s="4"/>
      <c r="D76" s="4" t="s">
        <v>94</v>
      </c>
      <c r="E76" s="5" t="s">
        <v>24</v>
      </c>
      <c r="F76" s="5" t="s">
        <v>9</v>
      </c>
      <c r="G76" s="5" t="s">
        <v>7</v>
      </c>
      <c r="H76" s="5" t="s">
        <v>10</v>
      </c>
      <c r="I76" s="5"/>
      <c r="J76" s="6"/>
      <c r="K76" s="6"/>
      <c r="L76" s="5"/>
      <c r="M76" s="5"/>
      <c r="N76" s="5"/>
      <c r="O76" s="5"/>
      <c r="P76" s="5"/>
      <c r="Q76" s="6"/>
    </row>
    <row r="77" spans="2:17" x14ac:dyDescent="0.25">
      <c r="B77" s="4"/>
      <c r="C77" s="4"/>
      <c r="D77" s="4">
        <f>H80</f>
        <v>0</v>
      </c>
      <c r="E77" s="5"/>
      <c r="F77" s="8">
        <f>F75-99</f>
        <v>-100</v>
      </c>
      <c r="G77" s="5">
        <f>IF(F77&gt;900,900,F77)</f>
        <v>-100</v>
      </c>
      <c r="H77" s="5">
        <f>IF(G77&gt;0,G77*'Shelby Rate Table'!E8,0)</f>
        <v>0</v>
      </c>
      <c r="I77" s="5">
        <f t="shared" ref="I77" si="9">H77*1.2</f>
        <v>0</v>
      </c>
      <c r="J77" s="6"/>
      <c r="K77" s="6"/>
      <c r="L77" s="5"/>
      <c r="M77" s="5"/>
      <c r="N77" s="5"/>
      <c r="O77" s="5"/>
      <c r="P77" s="5"/>
      <c r="Q77" s="6"/>
    </row>
    <row r="78" spans="2:17" x14ac:dyDescent="0.25">
      <c r="B78" s="4"/>
      <c r="C78" s="4"/>
      <c r="D78" s="4" t="s">
        <v>52</v>
      </c>
      <c r="E78" s="5" t="s">
        <v>48</v>
      </c>
      <c r="F78" s="5" t="s">
        <v>16</v>
      </c>
      <c r="G78" s="5" t="s">
        <v>7</v>
      </c>
      <c r="H78" s="5" t="s">
        <v>45</v>
      </c>
      <c r="I78" s="5"/>
      <c r="J78" s="16"/>
      <c r="K78" s="6"/>
      <c r="L78" s="5"/>
      <c r="M78" s="5"/>
      <c r="N78" s="5"/>
      <c r="O78" s="5"/>
      <c r="P78" s="5"/>
      <c r="Q78" s="6"/>
    </row>
    <row r="79" spans="2:17" x14ac:dyDescent="0.25">
      <c r="B79" s="4"/>
      <c r="C79" s="4"/>
      <c r="D79" s="4">
        <f>D77*1.2</f>
        <v>0</v>
      </c>
      <c r="E79" s="5"/>
      <c r="F79" s="8">
        <f>F77-900</f>
        <v>-1000</v>
      </c>
      <c r="G79" s="8">
        <f>F79</f>
        <v>-1000</v>
      </c>
      <c r="H79" s="5">
        <f>IF(G79&gt;0,G79*'Shelby Rate Table'!E9,0)</f>
        <v>0</v>
      </c>
      <c r="I79" s="5">
        <f t="shared" ref="I79" si="10">H79*1.2</f>
        <v>0</v>
      </c>
      <c r="J79" s="6"/>
      <c r="K79" s="6"/>
      <c r="L79" s="5"/>
      <c r="M79" s="5"/>
      <c r="N79" s="5"/>
      <c r="O79" s="5"/>
      <c r="P79" s="5"/>
      <c r="Q79" s="6"/>
    </row>
    <row r="80" spans="2:17" x14ac:dyDescent="0.25">
      <c r="B80" s="4"/>
      <c r="C80" s="4"/>
      <c r="D80" s="9"/>
      <c r="E80" s="10"/>
      <c r="F80" s="91" t="s">
        <v>33</v>
      </c>
      <c r="G80" s="91">
        <f>SUM(G73:G79)</f>
        <v>-1100</v>
      </c>
      <c r="H80" s="11">
        <f>IF(D73&gt;0,(SUM(H73:H79)),0)</f>
        <v>0</v>
      </c>
      <c r="I80" s="10"/>
      <c r="J80" s="20"/>
      <c r="K80" s="6"/>
      <c r="L80" s="5"/>
      <c r="M80" s="5"/>
      <c r="N80" s="5"/>
      <c r="O80" s="5"/>
      <c r="P80" s="5"/>
      <c r="Q80" s="6"/>
    </row>
    <row r="81" spans="2:17" x14ac:dyDescent="0.25">
      <c r="B81" s="4"/>
      <c r="C81" s="4"/>
      <c r="D81" s="5"/>
      <c r="E81" s="5"/>
      <c r="F81" s="90"/>
      <c r="G81" s="90"/>
      <c r="H81" s="15"/>
      <c r="I81" s="5"/>
      <c r="J81" s="5"/>
      <c r="K81" s="6"/>
      <c r="L81" s="5"/>
      <c r="M81" s="5"/>
      <c r="N81" s="5"/>
      <c r="O81" s="5"/>
      <c r="P81" s="5"/>
      <c r="Q81" s="6"/>
    </row>
    <row r="82" spans="2:17" x14ac:dyDescent="0.25">
      <c r="B82" s="4"/>
      <c r="C82" s="4"/>
      <c r="D82" s="5"/>
      <c r="E82" s="5"/>
      <c r="F82" s="90"/>
      <c r="G82" s="90"/>
      <c r="H82" s="15"/>
      <c r="I82" s="5"/>
      <c r="J82" s="5"/>
      <c r="K82" s="6"/>
      <c r="L82" s="5"/>
      <c r="M82" s="5"/>
      <c r="N82" s="5"/>
      <c r="O82" s="5"/>
      <c r="P82" s="5"/>
      <c r="Q82" s="6"/>
    </row>
    <row r="83" spans="2:17" x14ac:dyDescent="0.25">
      <c r="B83" s="4"/>
      <c r="C83" s="4"/>
      <c r="D83" s="5"/>
      <c r="E83" s="5"/>
      <c r="F83" s="90"/>
      <c r="G83" s="90"/>
      <c r="H83" s="15"/>
      <c r="I83" s="5"/>
      <c r="J83" s="5"/>
      <c r="K83" s="6"/>
      <c r="L83" s="5"/>
      <c r="M83" s="5"/>
      <c r="N83" s="5"/>
      <c r="O83" s="5"/>
      <c r="P83" s="5"/>
      <c r="Q83" s="6"/>
    </row>
    <row r="84" spans="2:17" x14ac:dyDescent="0.25">
      <c r="B84" s="4"/>
      <c r="C84" s="4"/>
      <c r="D84" s="13" t="s">
        <v>75</v>
      </c>
      <c r="E84" s="2"/>
      <c r="F84" s="2"/>
      <c r="G84" s="2"/>
      <c r="H84" s="2"/>
      <c r="I84" s="3"/>
      <c r="J84" s="5"/>
      <c r="K84" s="6"/>
      <c r="L84" s="5"/>
      <c r="M84" s="5"/>
      <c r="N84" s="5"/>
      <c r="O84" s="5"/>
      <c r="P84" s="5"/>
      <c r="Q84" s="6"/>
    </row>
    <row r="85" spans="2:17" x14ac:dyDescent="0.25">
      <c r="B85" s="4"/>
      <c r="C85" s="9"/>
      <c r="D85" s="4"/>
      <c r="E85" s="5"/>
      <c r="F85" s="5"/>
      <c r="G85" s="5"/>
      <c r="H85" s="5"/>
      <c r="I85" s="6"/>
      <c r="J85" s="5"/>
      <c r="K85" s="20"/>
      <c r="L85" s="5"/>
      <c r="M85" s="5"/>
      <c r="N85" s="5"/>
      <c r="O85" s="5"/>
      <c r="P85" s="5"/>
      <c r="Q85" s="6"/>
    </row>
    <row r="86" spans="2:17" x14ac:dyDescent="0.25">
      <c r="B86" s="9"/>
      <c r="C86" s="10"/>
      <c r="D86" s="4" t="s">
        <v>0</v>
      </c>
      <c r="E86" s="5"/>
      <c r="F86" s="5" t="s">
        <v>1</v>
      </c>
      <c r="G86" s="5" t="s">
        <v>32</v>
      </c>
      <c r="H86" s="5" t="s">
        <v>40</v>
      </c>
      <c r="I86" s="19" t="s">
        <v>87</v>
      </c>
      <c r="J86" s="5"/>
      <c r="K86" s="10"/>
      <c r="L86" s="10"/>
      <c r="M86" s="10"/>
      <c r="N86" s="10"/>
      <c r="O86" s="10"/>
      <c r="P86" s="10"/>
      <c r="Q86" s="20"/>
    </row>
    <row r="87" spans="2:17" x14ac:dyDescent="0.25">
      <c r="D87" s="7">
        <f>IF('Shelby Rates'!T15&gt;'Shelby Rates'!T14,'Shelby Rates'!T14,'Shelby Rates'!T15)</f>
        <v>0</v>
      </c>
      <c r="E87" s="5"/>
      <c r="F87" s="8">
        <f>ROUNDUP((D87/1000),0)</f>
        <v>0</v>
      </c>
      <c r="G87" s="5">
        <v>1</v>
      </c>
      <c r="H87" s="5">
        <f>IF(F87&gt;0,'Shelby Rate Table'!E6,0)</f>
        <v>0</v>
      </c>
      <c r="I87" s="6">
        <f>H87*1.2</f>
        <v>0</v>
      </c>
      <c r="J87" s="5"/>
    </row>
    <row r="88" spans="2:17" x14ac:dyDescent="0.25">
      <c r="D88" s="4"/>
      <c r="E88" s="5" t="s">
        <v>41</v>
      </c>
      <c r="F88" s="5" t="s">
        <v>2</v>
      </c>
      <c r="G88" s="5" t="s">
        <v>7</v>
      </c>
      <c r="H88" s="5" t="s">
        <v>8</v>
      </c>
      <c r="I88" s="6"/>
      <c r="J88" s="5"/>
    </row>
    <row r="89" spans="2:17" x14ac:dyDescent="0.25">
      <c r="D89" s="4"/>
      <c r="E89" s="5"/>
      <c r="F89" s="8">
        <f>F87-1</f>
        <v>-1</v>
      </c>
      <c r="G89" s="8">
        <f>IF(F89&gt;99,99,F89)</f>
        <v>-1</v>
      </c>
      <c r="H89" s="5">
        <f>IF(G89&gt;0,G89*'Shelby Rate Table'!E7,0)</f>
        <v>0</v>
      </c>
      <c r="I89" s="6">
        <f t="shared" ref="I89" si="11">H89*1.2</f>
        <v>0</v>
      </c>
      <c r="J89" s="5"/>
    </row>
    <row r="90" spans="2:17" x14ac:dyDescent="0.25">
      <c r="D90" s="4"/>
      <c r="E90" s="5" t="s">
        <v>24</v>
      </c>
      <c r="F90" s="5" t="s">
        <v>9</v>
      </c>
      <c r="G90" s="5" t="s">
        <v>7</v>
      </c>
      <c r="H90" s="5" t="s">
        <v>10</v>
      </c>
      <c r="I90" s="6"/>
      <c r="J90" s="5"/>
    </row>
    <row r="91" spans="2:17" x14ac:dyDescent="0.25">
      <c r="D91" s="4"/>
      <c r="E91" s="5"/>
      <c r="F91" s="8">
        <f>F89-99</f>
        <v>-100</v>
      </c>
      <c r="G91" s="5">
        <f>IF(F91&gt;900,900,F91)</f>
        <v>-100</v>
      </c>
      <c r="H91" s="5">
        <f>IF(G91&gt;0,G91*'Shelby Rate Table'!E8,0)</f>
        <v>0</v>
      </c>
      <c r="I91" s="6">
        <f t="shared" ref="I91" si="12">H91*1.2</f>
        <v>0</v>
      </c>
      <c r="J91" s="5"/>
    </row>
    <row r="92" spans="2:17" x14ac:dyDescent="0.25">
      <c r="D92" s="4"/>
      <c r="E92" s="5" t="s">
        <v>48</v>
      </c>
      <c r="F92" s="5" t="s">
        <v>16</v>
      </c>
      <c r="G92" s="5" t="s">
        <v>7</v>
      </c>
      <c r="H92" s="5" t="s">
        <v>45</v>
      </c>
      <c r="I92" s="6"/>
      <c r="J92" s="5"/>
    </row>
    <row r="93" spans="2:17" x14ac:dyDescent="0.25">
      <c r="D93" s="4"/>
      <c r="E93" s="5"/>
      <c r="F93" s="8">
        <f>F91-900</f>
        <v>-1000</v>
      </c>
      <c r="G93" s="8">
        <f>F93</f>
        <v>-1000</v>
      </c>
      <c r="H93" s="5">
        <f>IF(G93&gt;0,G93*'Shelby Rate Table'!E9,0)</f>
        <v>0</v>
      </c>
      <c r="I93" s="6">
        <f t="shared" ref="I93" si="13">H93*1.2</f>
        <v>0</v>
      </c>
      <c r="J93" s="5"/>
    </row>
    <row r="94" spans="2:17" x14ac:dyDescent="0.25">
      <c r="D94" s="4"/>
      <c r="E94" s="5"/>
      <c r="F94" s="15" t="s">
        <v>33</v>
      </c>
      <c r="G94" s="15">
        <f>SUM(G87:G93)</f>
        <v>-1100</v>
      </c>
      <c r="H94" s="15">
        <f>IF(D87&gt;=1000,SUM(H87:H93),0)</f>
        <v>0</v>
      </c>
      <c r="I94" s="16">
        <f>IF(D87&gt;=1000,SUM(I87:I93),0)</f>
        <v>0</v>
      </c>
      <c r="J94" s="5"/>
    </row>
    <row r="95" spans="2:17" x14ac:dyDescent="0.25">
      <c r="D95" s="9"/>
      <c r="E95" s="10"/>
      <c r="F95" s="11" t="s">
        <v>74</v>
      </c>
      <c r="G95" s="10"/>
      <c r="H95" s="11">
        <f>H94*0.3</f>
        <v>0</v>
      </c>
      <c r="I95" s="12">
        <f>I94*0.3</f>
        <v>0</v>
      </c>
      <c r="J95" s="5"/>
    </row>
    <row r="96" spans="2:17" x14ac:dyDescent="0.25">
      <c r="D96" s="5"/>
      <c r="E96" s="5"/>
      <c r="F96" s="90"/>
      <c r="G96" s="90"/>
      <c r="H96" s="15"/>
      <c r="I96" s="5"/>
      <c r="J96" s="5"/>
    </row>
    <row r="97" spans="4:10" x14ac:dyDescent="0.25">
      <c r="D97" s="1" t="s">
        <v>84</v>
      </c>
      <c r="E97" s="2"/>
      <c r="F97" s="2"/>
      <c r="G97" s="2"/>
      <c r="H97" s="3"/>
      <c r="I97" s="5"/>
      <c r="J97" s="5"/>
    </row>
    <row r="98" spans="4:10" x14ac:dyDescent="0.25">
      <c r="D98" s="4" t="s">
        <v>0</v>
      </c>
      <c r="E98" s="5"/>
      <c r="F98" s="5" t="s">
        <v>1</v>
      </c>
      <c r="G98" s="5" t="s">
        <v>32</v>
      </c>
      <c r="H98" s="6" t="s">
        <v>40</v>
      </c>
      <c r="I98" s="5"/>
      <c r="J98" s="5"/>
    </row>
    <row r="99" spans="4:10" x14ac:dyDescent="0.25">
      <c r="D99" s="7">
        <f>'Shelby Rates'!T17</f>
        <v>0</v>
      </c>
      <c r="E99" s="5"/>
      <c r="F99" s="8">
        <f>ROUNDUP((D99/1000),0)</f>
        <v>0</v>
      </c>
      <c r="G99" s="5">
        <v>1</v>
      </c>
      <c r="H99" s="6">
        <f>IF(F99&gt;0,'Shelby Rate Table'!E6,0)</f>
        <v>0</v>
      </c>
      <c r="I99" s="5"/>
      <c r="J99" s="5"/>
    </row>
    <row r="100" spans="4:10" x14ac:dyDescent="0.25">
      <c r="D100" s="4"/>
      <c r="E100" s="5" t="s">
        <v>41</v>
      </c>
      <c r="F100" s="5" t="s">
        <v>2</v>
      </c>
      <c r="G100" s="5" t="s">
        <v>7</v>
      </c>
      <c r="H100" s="6" t="s">
        <v>8</v>
      </c>
      <c r="I100" s="5"/>
      <c r="J100" s="5"/>
    </row>
    <row r="101" spans="4:10" x14ac:dyDescent="0.25">
      <c r="D101" s="4"/>
      <c r="E101" s="5"/>
      <c r="F101" s="8">
        <f>F99-1</f>
        <v>-1</v>
      </c>
      <c r="G101" s="8">
        <f>IF(F101&gt;99,99,F101)</f>
        <v>-1</v>
      </c>
      <c r="H101" s="6">
        <f>IF(G101&gt;0,G101*'Shelby Rate Table'!E7,0)</f>
        <v>0</v>
      </c>
      <c r="I101" s="5"/>
      <c r="J101" s="5"/>
    </row>
    <row r="102" spans="4:10" x14ac:dyDescent="0.25">
      <c r="D102" s="4"/>
      <c r="E102" s="5" t="s">
        <v>24</v>
      </c>
      <c r="F102" s="5" t="s">
        <v>9</v>
      </c>
      <c r="G102" s="5" t="s">
        <v>7</v>
      </c>
      <c r="H102" s="6" t="s">
        <v>10</v>
      </c>
      <c r="I102" s="5"/>
      <c r="J102" s="5"/>
    </row>
    <row r="103" spans="4:10" x14ac:dyDescent="0.25">
      <c r="D103" s="4" t="s">
        <v>53</v>
      </c>
      <c r="E103" s="5"/>
      <c r="F103" s="8">
        <f>F101-99</f>
        <v>-100</v>
      </c>
      <c r="G103" s="5">
        <f>IF(F103&gt;900,900,F103)</f>
        <v>-100</v>
      </c>
      <c r="H103" s="6">
        <f>IF(G103&gt;0,G103*'Shelby Rate Table'!E8,0)</f>
        <v>0</v>
      </c>
      <c r="I103" s="5"/>
      <c r="J103" s="5"/>
    </row>
    <row r="104" spans="4:10" x14ac:dyDescent="0.25">
      <c r="D104" s="4">
        <f>H106</f>
        <v>0</v>
      </c>
      <c r="E104" s="5" t="s">
        <v>48</v>
      </c>
      <c r="F104" s="5" t="s">
        <v>16</v>
      </c>
      <c r="G104" s="5" t="s">
        <v>7</v>
      </c>
      <c r="H104" s="6" t="s">
        <v>45</v>
      </c>
      <c r="I104" s="5"/>
      <c r="J104" s="5"/>
    </row>
    <row r="105" spans="4:10" x14ac:dyDescent="0.25">
      <c r="D105" s="4" t="s">
        <v>56</v>
      </c>
      <c r="E105" s="5"/>
      <c r="F105" s="8">
        <f>F103-900</f>
        <v>-1000</v>
      </c>
      <c r="G105" s="8">
        <f>F105</f>
        <v>-1000</v>
      </c>
      <c r="H105" s="6">
        <f>IF(G105&gt;0,G105*'Shelby Rate Table'!E9,0)</f>
        <v>0</v>
      </c>
      <c r="I105" s="5"/>
      <c r="J105" s="5"/>
    </row>
    <row r="106" spans="4:10" x14ac:dyDescent="0.25">
      <c r="D106" s="9">
        <f>IF(H106=0,0,D104*1.2)</f>
        <v>0</v>
      </c>
      <c r="E106" s="10"/>
      <c r="F106" s="11" t="s">
        <v>33</v>
      </c>
      <c r="G106" s="11">
        <f>SUM(G99:G105)</f>
        <v>-1100</v>
      </c>
      <c r="H106" s="12">
        <f>SUM(H99:H105)*0.7</f>
        <v>0</v>
      </c>
      <c r="I106" s="5"/>
      <c r="J106" s="5"/>
    </row>
    <row r="107" spans="4:10" x14ac:dyDescent="0.25">
      <c r="D107" s="10"/>
      <c r="E107" s="10"/>
      <c r="F107" s="10"/>
      <c r="G107" s="10"/>
      <c r="H107" s="10"/>
      <c r="I107" s="10"/>
      <c r="J107" s="10"/>
    </row>
    <row r="108" spans="4:10" x14ac:dyDescent="0.25">
      <c r="D108" s="10"/>
      <c r="E108" s="10"/>
      <c r="F108" s="10"/>
      <c r="G108" s="10"/>
      <c r="H108" s="10"/>
      <c r="I108" s="10"/>
      <c r="J108" s="10"/>
    </row>
  </sheetData>
  <mergeCells count="2">
    <mergeCell ref="B2:Q2"/>
    <mergeCell ref="B3:Q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1"/>
  <sheetViews>
    <sheetView workbookViewId="0">
      <selection activeCell="E7" sqref="E7"/>
    </sheetView>
  </sheetViews>
  <sheetFormatPr defaultColWidth="0" defaultRowHeight="15.75" zeroHeight="1" x14ac:dyDescent="0.25"/>
  <cols>
    <col min="1" max="2" width="1.125" customWidth="1"/>
    <col min="3" max="3" width="21.875" customWidth="1"/>
    <col min="4" max="4" width="10.875" customWidth="1"/>
    <col min="5" max="5" width="12.875" customWidth="1"/>
    <col min="6" max="7" width="1.125" customWidth="1"/>
    <col min="8" max="16384" width="10.875" hidden="1"/>
  </cols>
  <sheetData>
    <row r="1" spans="2:6" ht="6.95" customHeight="1" x14ac:dyDescent="0.25"/>
    <row r="2" spans="2:6" x14ac:dyDescent="0.25">
      <c r="B2" s="360" t="s">
        <v>104</v>
      </c>
      <c r="C2" s="361"/>
      <c r="D2" s="361"/>
      <c r="E2" s="361"/>
      <c r="F2" s="362"/>
    </row>
    <row r="3" spans="2:6" x14ac:dyDescent="0.25">
      <c r="B3" s="363" t="s">
        <v>127</v>
      </c>
      <c r="C3" s="364"/>
      <c r="D3" s="364"/>
      <c r="E3" s="364"/>
      <c r="F3" s="365"/>
    </row>
    <row r="4" spans="2:6" ht="6.95" customHeight="1" x14ac:dyDescent="0.25">
      <c r="B4" s="4"/>
      <c r="C4" s="5"/>
      <c r="D4" s="5"/>
      <c r="E4" s="5"/>
      <c r="F4" s="6"/>
    </row>
    <row r="5" spans="2:6" x14ac:dyDescent="0.25">
      <c r="B5" s="4"/>
      <c r="C5" s="147" t="s">
        <v>4</v>
      </c>
      <c r="D5" s="148" t="s">
        <v>18</v>
      </c>
      <c r="E5" s="149" t="s">
        <v>17</v>
      </c>
      <c r="F5" s="6"/>
    </row>
    <row r="6" spans="2:6" x14ac:dyDescent="0.25">
      <c r="B6" s="4"/>
      <c r="C6" s="9" t="s">
        <v>34</v>
      </c>
      <c r="D6" s="10" t="s">
        <v>19</v>
      </c>
      <c r="E6" s="20">
        <v>200</v>
      </c>
      <c r="F6" s="6"/>
    </row>
    <row r="7" spans="2:6" x14ac:dyDescent="0.25">
      <c r="B7" s="4"/>
      <c r="C7" s="4" t="s">
        <v>46</v>
      </c>
      <c r="D7" s="5">
        <v>1</v>
      </c>
      <c r="E7" s="6">
        <v>4</v>
      </c>
      <c r="F7" s="6"/>
    </row>
    <row r="8" spans="2:6" x14ac:dyDescent="0.25">
      <c r="B8" s="4"/>
      <c r="C8" s="4" t="s">
        <v>47</v>
      </c>
      <c r="D8" s="5">
        <v>2</v>
      </c>
      <c r="E8" s="6">
        <v>3</v>
      </c>
      <c r="F8" s="6"/>
    </row>
    <row r="9" spans="2:6" x14ac:dyDescent="0.25">
      <c r="B9" s="4"/>
      <c r="C9" s="9" t="s">
        <v>48</v>
      </c>
      <c r="D9" s="10">
        <v>3</v>
      </c>
      <c r="E9" s="20">
        <v>1</v>
      </c>
      <c r="F9" s="6"/>
    </row>
    <row r="10" spans="2:6" ht="6.95" customHeight="1" x14ac:dyDescent="0.25">
      <c r="B10" s="9"/>
      <c r="C10" s="10"/>
      <c r="D10" s="10"/>
      <c r="E10" s="10"/>
      <c r="F10" s="20"/>
    </row>
    <row r="11" spans="2:6" ht="6.95" customHeight="1" x14ac:dyDescent="0.25"/>
  </sheetData>
  <mergeCells count="2">
    <mergeCell ref="B2:F2"/>
    <mergeCell ref="B3:F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Z47"/>
  <sheetViews>
    <sheetView showGridLines="0" showRowColHeaders="0" zoomScale="78" zoomScaleNormal="78" zoomScalePageLayoutView="78" workbookViewId="0">
      <selection activeCell="I17" sqref="I17"/>
    </sheetView>
  </sheetViews>
  <sheetFormatPr defaultColWidth="10.875" defaultRowHeight="15" customHeight="1" x14ac:dyDescent="0.25"/>
  <cols>
    <col min="1" max="1" width="1" style="87" customWidth="1"/>
    <col min="2" max="5" width="1.125" style="87" customWidth="1"/>
    <col min="6" max="6" width="32.375" style="87" customWidth="1"/>
    <col min="7" max="7" width="14.125" style="87" bestFit="1" customWidth="1"/>
    <col min="8" max="8" width="1.125" style="87" customWidth="1"/>
    <col min="9" max="9" width="15.5" style="87" customWidth="1"/>
    <col min="10" max="10" width="19.5" style="87" customWidth="1"/>
    <col min="11" max="11" width="13" style="87" bestFit="1" customWidth="1"/>
    <col min="12" max="13" width="1.125" style="87" customWidth="1"/>
    <col min="14" max="14" width="1.875" style="87" customWidth="1"/>
    <col min="15" max="16" width="1.125" style="87" customWidth="1"/>
    <col min="17" max="17" width="32.375" style="87" customWidth="1"/>
    <col min="18" max="18" width="12.5" style="87" bestFit="1" customWidth="1"/>
    <col min="19" max="19" width="1.125" style="87" customWidth="1"/>
    <col min="20" max="20" width="15.5" style="87" customWidth="1"/>
    <col min="21" max="21" width="16.375" style="87" customWidth="1"/>
    <col min="22" max="22" width="12" style="87" bestFit="1" customWidth="1"/>
    <col min="23" max="23" width="1.125" style="87" customWidth="1"/>
    <col min="24" max="24" width="1.875" style="87" customWidth="1"/>
    <col min="25" max="27" width="1.125" style="87" customWidth="1"/>
    <col min="28" max="16384" width="10.875" style="87"/>
  </cols>
  <sheetData>
    <row r="1" spans="1:26" ht="6.95" customHeight="1" x14ac:dyDescent="0.25"/>
    <row r="2" spans="1:26" ht="15" customHeight="1" x14ac:dyDescent="0.25">
      <c r="B2" s="98"/>
      <c r="C2" s="98"/>
      <c r="D2" s="98"/>
      <c r="E2" s="98"/>
      <c r="F2" s="99" t="s">
        <v>96</v>
      </c>
    </row>
    <row r="3" spans="1:26" ht="6.95" customHeight="1" x14ac:dyDescent="0.25">
      <c r="G3" s="88"/>
      <c r="H3" s="88"/>
    </row>
    <row r="4" spans="1:26" ht="6.95" customHeight="1" x14ac:dyDescent="0.25">
      <c r="B4" s="23"/>
      <c r="C4" s="23"/>
      <c r="D4" s="23"/>
      <c r="E4" s="23"/>
      <c r="F4" s="23"/>
      <c r="G4" s="77"/>
      <c r="H4" s="77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6.95" customHeight="1" x14ac:dyDescent="0.25">
      <c r="B5" s="23"/>
      <c r="C5" s="305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7"/>
      <c r="Z5" s="52"/>
    </row>
    <row r="6" spans="1:26" ht="24.95" customHeight="1" x14ac:dyDescent="0.25">
      <c r="A6" s="89"/>
      <c r="B6" s="70"/>
      <c r="C6" s="329" t="s">
        <v>93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1"/>
      <c r="Z6" s="70"/>
    </row>
    <row r="7" spans="1:26" ht="21.95" customHeight="1" x14ac:dyDescent="0.25">
      <c r="A7" s="89"/>
      <c r="B7" s="70"/>
      <c r="C7" s="335" t="s">
        <v>92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7"/>
      <c r="Z7" s="70"/>
    </row>
    <row r="8" spans="1:26" ht="21.95" customHeight="1" x14ac:dyDescent="0.25">
      <c r="A8" s="89"/>
      <c r="B8" s="70"/>
      <c r="C8" s="332" t="s">
        <v>114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4"/>
      <c r="Z8" s="70"/>
    </row>
    <row r="9" spans="1:26" ht="11.1" customHeight="1" x14ac:dyDescent="0.25">
      <c r="A9" s="89"/>
      <c r="B9" s="70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  <c r="Z9" s="70"/>
    </row>
    <row r="10" spans="1:26" ht="9.9499999999999993" customHeight="1" x14ac:dyDescent="0.25">
      <c r="B10" s="23"/>
      <c r="C10" s="71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75"/>
      <c r="Z10" s="23"/>
    </row>
    <row r="11" spans="1:26" ht="20.100000000000001" customHeight="1" x14ac:dyDescent="0.25">
      <c r="B11" s="23"/>
      <c r="C11" s="71"/>
      <c r="D11" s="326" t="s">
        <v>133</v>
      </c>
      <c r="E11" s="327"/>
      <c r="F11" s="327"/>
      <c r="G11" s="327"/>
      <c r="H11" s="327"/>
      <c r="I11" s="327"/>
      <c r="J11" s="327"/>
      <c r="K11" s="327"/>
      <c r="L11" s="327"/>
      <c r="M11" s="328"/>
      <c r="N11" s="24"/>
      <c r="O11" s="326" t="s">
        <v>146</v>
      </c>
      <c r="P11" s="327"/>
      <c r="Q11" s="327"/>
      <c r="R11" s="327"/>
      <c r="S11" s="327"/>
      <c r="T11" s="327"/>
      <c r="U11" s="327"/>
      <c r="V11" s="327"/>
      <c r="W11" s="327"/>
      <c r="X11" s="328"/>
      <c r="Y11" s="75"/>
      <c r="Z11" s="23"/>
    </row>
    <row r="12" spans="1:26" ht="9.9499999999999993" customHeight="1" thickBot="1" x14ac:dyDescent="0.3">
      <c r="B12" s="23"/>
      <c r="C12" s="71"/>
      <c r="D12" s="26"/>
      <c r="E12" s="27"/>
      <c r="F12" s="27"/>
      <c r="G12" s="28"/>
      <c r="H12" s="28"/>
      <c r="I12" s="27"/>
      <c r="J12" s="27"/>
      <c r="K12" s="27"/>
      <c r="L12" s="27"/>
      <c r="M12" s="29"/>
      <c r="N12" s="24"/>
      <c r="O12" s="26"/>
      <c r="P12" s="27"/>
      <c r="Q12" s="27"/>
      <c r="R12" s="27"/>
      <c r="S12" s="27"/>
      <c r="T12" s="27"/>
      <c r="U12" s="27"/>
      <c r="V12" s="27"/>
      <c r="W12" s="27"/>
      <c r="X12" s="29"/>
      <c r="Y12" s="75"/>
      <c r="Z12" s="23"/>
    </row>
    <row r="13" spans="1:26" ht="16.5" thickBot="1" x14ac:dyDescent="0.3">
      <c r="B13" s="23"/>
      <c r="C13" s="71"/>
      <c r="D13" s="342" t="s">
        <v>152</v>
      </c>
      <c r="E13" s="343"/>
      <c r="F13" s="343"/>
      <c r="G13" s="343"/>
      <c r="H13" s="30"/>
      <c r="I13" s="94">
        <v>0</v>
      </c>
      <c r="J13" s="31"/>
      <c r="K13" s="27"/>
      <c r="L13" s="27"/>
      <c r="M13" s="29"/>
      <c r="N13" s="24"/>
      <c r="O13" s="26"/>
      <c r="P13" s="27"/>
      <c r="Q13" s="27"/>
      <c r="R13" s="183" t="s">
        <v>155</v>
      </c>
      <c r="S13" s="27"/>
      <c r="T13" s="206">
        <v>0</v>
      </c>
      <c r="U13" s="27"/>
      <c r="V13" s="27"/>
      <c r="W13" s="27"/>
      <c r="X13" s="29"/>
      <c r="Y13" s="75"/>
      <c r="Z13" s="23"/>
    </row>
    <row r="14" spans="1:26" ht="16.5" thickBot="1" x14ac:dyDescent="0.3">
      <c r="B14" s="23"/>
      <c r="C14" s="71"/>
      <c r="D14" s="33"/>
      <c r="E14" s="34"/>
      <c r="F14" s="34"/>
      <c r="G14" s="34"/>
      <c r="H14" s="34"/>
      <c r="I14" s="92"/>
      <c r="J14" s="32"/>
      <c r="K14" s="27"/>
      <c r="L14" s="27"/>
      <c r="M14" s="29"/>
      <c r="N14" s="24"/>
      <c r="O14" s="26"/>
      <c r="P14" s="27"/>
      <c r="Q14" s="343"/>
      <c r="R14" s="343"/>
      <c r="S14" s="27"/>
      <c r="T14" s="175"/>
      <c r="U14" s="172"/>
      <c r="V14" s="27"/>
      <c r="W14" s="27"/>
      <c r="X14" s="29"/>
      <c r="Y14" s="75"/>
      <c r="Z14" s="23"/>
    </row>
    <row r="15" spans="1:26" ht="16.5" thickBot="1" x14ac:dyDescent="0.3">
      <c r="B15" s="23"/>
      <c r="C15" s="71"/>
      <c r="D15" s="342" t="s">
        <v>153</v>
      </c>
      <c r="E15" s="343"/>
      <c r="F15" s="343"/>
      <c r="G15" s="343"/>
      <c r="H15" s="30"/>
      <c r="I15" s="94">
        <v>0</v>
      </c>
      <c r="J15" s="31"/>
      <c r="K15" s="27"/>
      <c r="L15" s="27"/>
      <c r="M15" s="29"/>
      <c r="N15" s="24"/>
      <c r="O15" s="26"/>
      <c r="P15" s="27"/>
      <c r="Q15" s="341" t="s">
        <v>154</v>
      </c>
      <c r="R15" s="341"/>
      <c r="S15" s="131"/>
      <c r="T15" s="191">
        <v>0</v>
      </c>
      <c r="U15" s="27"/>
      <c r="V15" s="27"/>
      <c r="W15" s="27"/>
      <c r="X15" s="29"/>
      <c r="Y15" s="75"/>
      <c r="Z15" s="23"/>
    </row>
    <row r="16" spans="1:26" ht="16.5" thickBot="1" x14ac:dyDescent="0.3">
      <c r="B16" s="23"/>
      <c r="C16" s="71"/>
      <c r="D16" s="26"/>
      <c r="E16" s="27"/>
      <c r="F16" s="27"/>
      <c r="G16" s="28"/>
      <c r="H16" s="28"/>
      <c r="I16" s="28"/>
      <c r="J16" s="27"/>
      <c r="K16" s="27"/>
      <c r="L16" s="27"/>
      <c r="M16" s="29"/>
      <c r="N16" s="24"/>
      <c r="O16" s="26"/>
      <c r="P16" s="27"/>
      <c r="Q16" s="27"/>
      <c r="R16" s="27"/>
      <c r="S16" s="27"/>
      <c r="T16" s="27"/>
      <c r="U16" s="27"/>
      <c r="V16" s="27"/>
      <c r="W16" s="27"/>
      <c r="X16" s="29"/>
      <c r="Y16" s="75"/>
      <c r="Z16" s="23"/>
    </row>
    <row r="17" spans="2:26" ht="16.5" thickBot="1" x14ac:dyDescent="0.3">
      <c r="B17" s="23"/>
      <c r="C17" s="71"/>
      <c r="D17" s="342" t="s">
        <v>88</v>
      </c>
      <c r="E17" s="343"/>
      <c r="F17" s="343"/>
      <c r="G17" s="343"/>
      <c r="H17" s="28"/>
      <c r="I17" s="95"/>
      <c r="J17" s="27"/>
      <c r="K17" s="27"/>
      <c r="L17" s="27"/>
      <c r="M17" s="29"/>
      <c r="N17" s="24"/>
      <c r="O17" s="26"/>
      <c r="P17" s="27"/>
      <c r="Q17" s="343" t="s">
        <v>151</v>
      </c>
      <c r="R17" s="343"/>
      <c r="S17" s="27"/>
      <c r="T17" s="95">
        <v>0</v>
      </c>
      <c r="U17" s="27"/>
      <c r="V17" s="27"/>
      <c r="W17" s="27"/>
      <c r="X17" s="29"/>
      <c r="Y17" s="75"/>
      <c r="Z17" s="23"/>
    </row>
    <row r="18" spans="2:26" ht="9.9499999999999993" customHeight="1" x14ac:dyDescent="0.25">
      <c r="B18" s="23"/>
      <c r="C18" s="71"/>
      <c r="D18" s="26"/>
      <c r="E18" s="27"/>
      <c r="F18" s="27"/>
      <c r="G18" s="28"/>
      <c r="H18" s="28"/>
      <c r="I18" s="27"/>
      <c r="J18" s="28"/>
      <c r="K18" s="27"/>
      <c r="L18" s="27"/>
      <c r="M18" s="29"/>
      <c r="N18" s="24"/>
      <c r="O18" s="26"/>
      <c r="P18" s="27"/>
      <c r="Q18" s="27"/>
      <c r="R18" s="27"/>
      <c r="S18" s="27"/>
      <c r="T18" s="27"/>
      <c r="U18" s="27"/>
      <c r="V18" s="27"/>
      <c r="W18" s="27"/>
      <c r="X18" s="29"/>
      <c r="Y18" s="75"/>
      <c r="Z18" s="23"/>
    </row>
    <row r="19" spans="2:26" ht="15.75" x14ac:dyDescent="0.25">
      <c r="B19" s="23"/>
      <c r="C19" s="71"/>
      <c r="D19" s="26"/>
      <c r="E19" s="294" t="s">
        <v>89</v>
      </c>
      <c r="F19" s="295"/>
      <c r="G19" s="295"/>
      <c r="H19" s="295"/>
      <c r="I19" s="295"/>
      <c r="J19" s="295"/>
      <c r="K19" s="295"/>
      <c r="L19" s="296"/>
      <c r="M19" s="29"/>
      <c r="N19" s="24"/>
      <c r="O19" s="26"/>
      <c r="P19" s="294" t="s">
        <v>89</v>
      </c>
      <c r="Q19" s="295"/>
      <c r="R19" s="295"/>
      <c r="S19" s="295"/>
      <c r="T19" s="295"/>
      <c r="U19" s="295"/>
      <c r="V19" s="295"/>
      <c r="W19" s="184"/>
      <c r="X19" s="29"/>
      <c r="Y19" s="75"/>
      <c r="Z19" s="23"/>
    </row>
    <row r="20" spans="2:26" ht="9.9499999999999993" customHeight="1" x14ac:dyDescent="0.25">
      <c r="B20" s="23"/>
      <c r="C20" s="71"/>
      <c r="D20" s="26"/>
      <c r="E20" s="21"/>
      <c r="F20" s="44"/>
      <c r="G20" s="44"/>
      <c r="H20" s="44"/>
      <c r="I20" s="44"/>
      <c r="J20" s="44"/>
      <c r="K20" s="44"/>
      <c r="L20" s="45"/>
      <c r="M20" s="39"/>
      <c r="N20" s="24"/>
      <c r="O20" s="26"/>
      <c r="P20" s="78"/>
      <c r="Q20" s="79"/>
      <c r="R20" s="79"/>
      <c r="S20" s="79"/>
      <c r="T20" s="79"/>
      <c r="U20" s="79"/>
      <c r="V20" s="79"/>
      <c r="W20" s="80"/>
      <c r="X20" s="29"/>
      <c r="Y20" s="75"/>
      <c r="Z20" s="23"/>
    </row>
    <row r="21" spans="2:26" ht="15.75" x14ac:dyDescent="0.25">
      <c r="B21" s="23"/>
      <c r="C21" s="71"/>
      <c r="D21" s="26"/>
      <c r="E21" s="21"/>
      <c r="F21" s="349" t="s">
        <v>90</v>
      </c>
      <c r="G21" s="350"/>
      <c r="H21" s="53"/>
      <c r="I21" s="349" t="s">
        <v>87</v>
      </c>
      <c r="J21" s="351"/>
      <c r="K21" s="350"/>
      <c r="L21" s="45"/>
      <c r="M21" s="39"/>
      <c r="N21" s="24"/>
      <c r="O21" s="26"/>
      <c r="P21" s="21"/>
      <c r="Q21" s="349" t="s">
        <v>90</v>
      </c>
      <c r="R21" s="350"/>
      <c r="S21" s="52"/>
      <c r="T21" s="349" t="s">
        <v>87</v>
      </c>
      <c r="U21" s="351"/>
      <c r="V21" s="350"/>
      <c r="W21" s="54"/>
      <c r="X21" s="29"/>
      <c r="Y21" s="75"/>
      <c r="Z21" s="23"/>
    </row>
    <row r="22" spans="2:26" ht="15.75" x14ac:dyDescent="0.25">
      <c r="B22" s="23"/>
      <c r="C22" s="71"/>
      <c r="D22" s="26"/>
      <c r="E22" s="21"/>
      <c r="F22" s="59" t="s">
        <v>58</v>
      </c>
      <c r="G22" s="60">
        <f>'Knox &amp; Hamilton Data'!D14</f>
        <v>0</v>
      </c>
      <c r="H22" s="53"/>
      <c r="I22" s="324" t="s">
        <v>59</v>
      </c>
      <c r="J22" s="325"/>
      <c r="K22" s="60">
        <f>'Knox &amp; Hamilton Data'!D16</f>
        <v>0</v>
      </c>
      <c r="L22" s="22"/>
      <c r="M22" s="39"/>
      <c r="N22" s="24"/>
      <c r="O22" s="26"/>
      <c r="P22" s="21"/>
      <c r="Q22" s="192" t="s">
        <v>148</v>
      </c>
      <c r="R22" s="66">
        <f>IF(T13=0,0,'Knox &amp; Hamilton Data'!D91)</f>
        <v>0</v>
      </c>
      <c r="S22" s="81"/>
      <c r="T22" s="193" t="s">
        <v>148</v>
      </c>
      <c r="U22" s="182"/>
      <c r="V22" s="66">
        <f>IF(T13=0,0,'Knox &amp; Hamilton Data'!D93)</f>
        <v>0</v>
      </c>
      <c r="W22" s="54"/>
      <c r="X22" s="29"/>
      <c r="Y22" s="75"/>
      <c r="Z22" s="23"/>
    </row>
    <row r="23" spans="2:26" ht="15.75" x14ac:dyDescent="0.25">
      <c r="B23" s="23"/>
      <c r="C23" s="71"/>
      <c r="D23" s="26"/>
      <c r="E23" s="21"/>
      <c r="F23" s="178" t="s">
        <v>147</v>
      </c>
      <c r="G23" s="62">
        <f>-'Knox &amp; Hamilton Data'!J59</f>
        <v>0</v>
      </c>
      <c r="H23" s="53"/>
      <c r="I23" s="366" t="s">
        <v>147</v>
      </c>
      <c r="J23" s="319"/>
      <c r="K23" s="62">
        <f>-'Knox &amp; Hamilton Data'!K59</f>
        <v>0</v>
      </c>
      <c r="L23" s="22"/>
      <c r="M23" s="40"/>
      <c r="N23" s="24"/>
      <c r="O23" s="26"/>
      <c r="P23" s="21"/>
      <c r="Q23" s="61" t="s">
        <v>83</v>
      </c>
      <c r="R23" s="194">
        <f>IF(T15=0,0,'Knox &amp; Hamilton Data'!D71)</f>
        <v>0</v>
      </c>
      <c r="S23" s="81"/>
      <c r="T23" s="190" t="s">
        <v>85</v>
      </c>
      <c r="U23" s="187"/>
      <c r="V23" s="62">
        <f>IF(T15=0,0,'Knox &amp; Hamilton Data'!D73)</f>
        <v>0</v>
      </c>
      <c r="W23" s="54"/>
      <c r="X23" s="29"/>
      <c r="Y23" s="75"/>
      <c r="Z23" s="23"/>
    </row>
    <row r="24" spans="2:26" ht="15.75" x14ac:dyDescent="0.25">
      <c r="B24" s="23"/>
      <c r="C24" s="71"/>
      <c r="D24" s="26"/>
      <c r="E24" s="21"/>
      <c r="F24" s="63" t="s">
        <v>67</v>
      </c>
      <c r="G24" s="64">
        <f>'Knox &amp; Hamilton Data'!N40</f>
        <v>0</v>
      </c>
      <c r="H24" s="53"/>
      <c r="I24" s="320" t="s">
        <v>73</v>
      </c>
      <c r="J24" s="321"/>
      <c r="K24" s="64">
        <f>'Knox &amp; Hamilton Data'!O40</f>
        <v>0</v>
      </c>
      <c r="L24" s="22"/>
      <c r="M24" s="29"/>
      <c r="N24" s="24"/>
      <c r="O24" s="26"/>
      <c r="P24" s="21"/>
      <c r="Q24" s="63" t="s">
        <v>84</v>
      </c>
      <c r="R24" s="64">
        <f>IF(T17=0,0,'Knox &amp; Hamilton Data'!D148)</f>
        <v>0</v>
      </c>
      <c r="S24" s="81"/>
      <c r="T24" s="185" t="s">
        <v>86</v>
      </c>
      <c r="U24" s="186"/>
      <c r="V24" s="64">
        <f>IF(T17=0,0,'Knox &amp; Hamilton Data'!D150)</f>
        <v>0</v>
      </c>
      <c r="W24" s="54"/>
      <c r="X24" s="29"/>
      <c r="Y24" s="75"/>
      <c r="Z24" s="23"/>
    </row>
    <row r="25" spans="2:26" ht="15.75" x14ac:dyDescent="0.25">
      <c r="B25" s="23"/>
      <c r="C25" s="71"/>
      <c r="D25" s="26"/>
      <c r="E25" s="21"/>
      <c r="F25" s="82" t="str">
        <f>IF(G25=200,"Minimum Allowable Premium","Total")</f>
        <v>Total</v>
      </c>
      <c r="G25" s="83">
        <f>IF(AND(SUM(G22:G23)&gt;0,SUM(G22:G23)&lt;200),200+G24,SUM(G22:G24))</f>
        <v>0</v>
      </c>
      <c r="H25" s="68"/>
      <c r="I25" s="322" t="str">
        <f>IF(K25=200,"Minimum Allowable Premium","Total")</f>
        <v>Total</v>
      </c>
      <c r="J25" s="323"/>
      <c r="K25" s="83">
        <f>IF(AND(SUM(K22:K23)&gt;0,SUM(K22:K23)&lt;200),200+K24,SUM(K22:K24))</f>
        <v>0</v>
      </c>
      <c r="L25" s="51"/>
      <c r="M25" s="29"/>
      <c r="N25" s="24"/>
      <c r="O25" s="26"/>
      <c r="P25" s="21"/>
      <c r="Q25" s="140" t="str">
        <f>IF(R25=200,"Minimum Allowable Premium","Total")</f>
        <v>Total</v>
      </c>
      <c r="R25" s="83">
        <f>IF(AND(SUM(R22:R23)&gt;0,SUM(R22:R23)&lt;200),200+R24,SUM(R22:R24))</f>
        <v>0</v>
      </c>
      <c r="S25" s="142"/>
      <c r="T25" s="315" t="str">
        <f>IF(V25=200,"Minimum Allowable Premium","Total")</f>
        <v>Total</v>
      </c>
      <c r="U25" s="316"/>
      <c r="V25" s="83">
        <f>IF(AND(SUM(V22:V23)&gt;0,SUM(V22:V23)&lt;200),200+V24,SUM(V22:V24))</f>
        <v>0</v>
      </c>
      <c r="W25" s="54"/>
      <c r="X25" s="29"/>
      <c r="Y25" s="75"/>
      <c r="Z25" s="23"/>
    </row>
    <row r="26" spans="2:26" ht="9.9499999999999993" customHeight="1" x14ac:dyDescent="0.25">
      <c r="B26" s="23"/>
      <c r="C26" s="71"/>
      <c r="D26" s="26"/>
      <c r="E26" s="46"/>
      <c r="F26" s="47"/>
      <c r="G26" s="48"/>
      <c r="H26" s="48"/>
      <c r="I26" s="49"/>
      <c r="J26" s="49"/>
      <c r="K26" s="48"/>
      <c r="L26" s="50"/>
      <c r="M26" s="29"/>
      <c r="N26" s="24"/>
      <c r="O26" s="26"/>
      <c r="P26" s="46"/>
      <c r="Q26" s="57"/>
      <c r="R26" s="57"/>
      <c r="S26" s="57"/>
      <c r="T26" s="57"/>
      <c r="U26" s="57"/>
      <c r="V26" s="57"/>
      <c r="W26" s="58"/>
      <c r="X26" s="29"/>
      <c r="Y26" s="75"/>
      <c r="Z26" s="23"/>
    </row>
    <row r="27" spans="2:26" ht="9.9499999999999993" customHeight="1" x14ac:dyDescent="0.25">
      <c r="B27" s="23"/>
      <c r="C27" s="71"/>
      <c r="D27" s="26"/>
      <c r="E27" s="27"/>
      <c r="F27" s="41"/>
      <c r="G27" s="42"/>
      <c r="H27" s="42"/>
      <c r="I27" s="43"/>
      <c r="J27" s="43"/>
      <c r="K27" s="42"/>
      <c r="L27" s="42"/>
      <c r="M27" s="29"/>
      <c r="N27" s="24"/>
      <c r="O27" s="26"/>
      <c r="P27" s="27"/>
      <c r="Q27" s="27"/>
      <c r="R27" s="27"/>
      <c r="S27" s="27"/>
      <c r="T27" s="27"/>
      <c r="U27" s="27"/>
      <c r="V27" s="27"/>
      <c r="W27" s="27"/>
      <c r="X27" s="29"/>
      <c r="Y27" s="75"/>
      <c r="Z27" s="23"/>
    </row>
    <row r="28" spans="2:26" ht="15.75" x14ac:dyDescent="0.25">
      <c r="B28" s="23"/>
      <c r="C28" s="71"/>
      <c r="D28" s="26"/>
      <c r="E28" s="294" t="s">
        <v>91</v>
      </c>
      <c r="F28" s="295"/>
      <c r="G28" s="295"/>
      <c r="H28" s="295"/>
      <c r="I28" s="295"/>
      <c r="J28" s="295"/>
      <c r="K28" s="295"/>
      <c r="L28" s="296"/>
      <c r="M28" s="29"/>
      <c r="N28" s="24"/>
      <c r="O28" s="26"/>
      <c r="P28" s="294" t="s">
        <v>91</v>
      </c>
      <c r="Q28" s="295"/>
      <c r="R28" s="295"/>
      <c r="S28" s="295"/>
      <c r="T28" s="295"/>
      <c r="U28" s="295"/>
      <c r="V28" s="295"/>
      <c r="W28" s="296"/>
      <c r="X28" s="29"/>
      <c r="Y28" s="75"/>
      <c r="Z28" s="23"/>
    </row>
    <row r="29" spans="2:26" ht="9.9499999999999993" customHeight="1" thickBot="1" x14ac:dyDescent="0.3">
      <c r="B29" s="23"/>
      <c r="C29" s="71"/>
      <c r="D29" s="26"/>
      <c r="E29" s="21"/>
      <c r="F29" s="52"/>
      <c r="G29" s="53"/>
      <c r="H29" s="53"/>
      <c r="I29" s="52"/>
      <c r="J29" s="52"/>
      <c r="K29" s="52"/>
      <c r="L29" s="54"/>
      <c r="M29" s="39"/>
      <c r="N29" s="24"/>
      <c r="O29" s="26"/>
      <c r="P29" s="21"/>
      <c r="Q29" s="52"/>
      <c r="R29" s="52"/>
      <c r="S29" s="52"/>
      <c r="T29" s="52"/>
      <c r="U29" s="52"/>
      <c r="V29" s="52"/>
      <c r="W29" s="54"/>
      <c r="X29" s="29"/>
      <c r="Y29" s="75"/>
      <c r="Z29" s="23"/>
    </row>
    <row r="30" spans="2:26" ht="16.5" thickBot="1" x14ac:dyDescent="0.3">
      <c r="B30" s="23"/>
      <c r="C30" s="71"/>
      <c r="D30" s="26"/>
      <c r="E30" s="21"/>
      <c r="F30" s="317" t="s">
        <v>78</v>
      </c>
      <c r="G30" s="317"/>
      <c r="H30" s="55"/>
      <c r="I30" s="96">
        <v>0</v>
      </c>
      <c r="J30" s="52"/>
      <c r="K30" s="52"/>
      <c r="L30" s="54"/>
      <c r="M30" s="39"/>
      <c r="N30" s="24"/>
      <c r="O30" s="26"/>
      <c r="P30" s="21"/>
      <c r="Q30" s="317" t="s">
        <v>78</v>
      </c>
      <c r="R30" s="317"/>
      <c r="S30" s="52"/>
      <c r="T30" s="96">
        <v>0</v>
      </c>
      <c r="U30" s="52"/>
      <c r="V30" s="52"/>
      <c r="W30" s="54"/>
      <c r="X30" s="29"/>
      <c r="Y30" s="75"/>
      <c r="Z30" s="23"/>
    </row>
    <row r="31" spans="2:26" ht="9.9499999999999993" customHeight="1" x14ac:dyDescent="0.25">
      <c r="B31" s="23"/>
      <c r="C31" s="71"/>
      <c r="D31" s="26"/>
      <c r="E31" s="21"/>
      <c r="F31" s="217"/>
      <c r="G31" s="217"/>
      <c r="H31" s="55"/>
      <c r="I31" s="55"/>
      <c r="J31" s="52"/>
      <c r="K31" s="52"/>
      <c r="L31" s="54"/>
      <c r="M31" s="39"/>
      <c r="N31" s="24"/>
      <c r="O31" s="26"/>
      <c r="P31" s="21"/>
      <c r="Q31" s="52"/>
      <c r="R31" s="52"/>
      <c r="S31" s="52"/>
      <c r="T31" s="52"/>
      <c r="U31" s="52"/>
      <c r="V31" s="52"/>
      <c r="W31" s="54"/>
      <c r="X31" s="29"/>
      <c r="Y31" s="75"/>
      <c r="Z31" s="23"/>
    </row>
    <row r="32" spans="2:26" ht="15.75" x14ac:dyDescent="0.25">
      <c r="B32" s="23"/>
      <c r="C32" s="71"/>
      <c r="D32" s="26"/>
      <c r="E32" s="21"/>
      <c r="F32" s="344" t="s">
        <v>90</v>
      </c>
      <c r="G32" s="345"/>
      <c r="H32" s="55"/>
      <c r="I32" s="346" t="s">
        <v>87</v>
      </c>
      <c r="J32" s="347"/>
      <c r="K32" s="348"/>
      <c r="L32" s="54"/>
      <c r="M32" s="39"/>
      <c r="N32" s="24"/>
      <c r="O32" s="26"/>
      <c r="P32" s="21"/>
      <c r="Q32" s="344" t="s">
        <v>90</v>
      </c>
      <c r="R32" s="345"/>
      <c r="S32" s="5"/>
      <c r="T32" s="355" t="s">
        <v>87</v>
      </c>
      <c r="U32" s="356"/>
      <c r="V32" s="357"/>
      <c r="W32" s="54"/>
      <c r="X32" s="29"/>
      <c r="Y32" s="75"/>
      <c r="Z32" s="23"/>
    </row>
    <row r="33" spans="2:26" ht="15.75" x14ac:dyDescent="0.25">
      <c r="B33" s="23"/>
      <c r="C33" s="71"/>
      <c r="D33" s="26"/>
      <c r="E33" s="21"/>
      <c r="F33" s="65" t="s">
        <v>79</v>
      </c>
      <c r="G33" s="66">
        <f>IF(I30&gt;0,G25-G34,0)</f>
        <v>0</v>
      </c>
      <c r="H33" s="53"/>
      <c r="I33" s="308" t="s">
        <v>79</v>
      </c>
      <c r="J33" s="309"/>
      <c r="K33" s="66">
        <f>IF(I30&gt;0,K25-K34,0)</f>
        <v>0</v>
      </c>
      <c r="L33" s="22"/>
      <c r="M33" s="29"/>
      <c r="N33" s="24"/>
      <c r="O33" s="26"/>
      <c r="P33" s="21"/>
      <c r="Q33" s="65" t="s">
        <v>79</v>
      </c>
      <c r="R33" s="66">
        <f>IF(T30&gt;0,R25-R34,0)</f>
        <v>0</v>
      </c>
      <c r="S33" s="5"/>
      <c r="T33" s="212" t="s">
        <v>79</v>
      </c>
      <c r="U33" s="213"/>
      <c r="V33" s="66">
        <f>IF(T30&gt;0,V25-V34,0)</f>
        <v>0</v>
      </c>
      <c r="W33" s="54"/>
      <c r="X33" s="29"/>
      <c r="Y33" s="75"/>
      <c r="Z33" s="23"/>
    </row>
    <row r="34" spans="2:26" ht="15.75" x14ac:dyDescent="0.25">
      <c r="B34" s="23"/>
      <c r="C34" s="71"/>
      <c r="D34" s="26"/>
      <c r="E34" s="21"/>
      <c r="F34" s="67" t="s">
        <v>80</v>
      </c>
      <c r="G34" s="69">
        <f>IF(I30&gt;0,(100%-I30)*'Knox &amp; Hamilton Remit Calcs'!E10,0)</f>
        <v>0</v>
      </c>
      <c r="H34" s="53"/>
      <c r="I34" s="310" t="s">
        <v>80</v>
      </c>
      <c r="J34" s="311"/>
      <c r="K34" s="69">
        <f>IF(I30&gt;0,(100%-I30)*'Knox &amp; Hamilton Remit Calcs'!I10,0)</f>
        <v>0</v>
      </c>
      <c r="L34" s="22"/>
      <c r="M34" s="29"/>
      <c r="N34" s="24"/>
      <c r="O34" s="26"/>
      <c r="P34" s="21"/>
      <c r="Q34" s="67" t="s">
        <v>80</v>
      </c>
      <c r="R34" s="69">
        <f>IF(T30&gt;0,(100%-T30)*'Knox &amp; Hamilton Remit Calcs'!E77,0)</f>
        <v>0</v>
      </c>
      <c r="S34" s="5"/>
      <c r="T34" s="214" t="s">
        <v>80</v>
      </c>
      <c r="U34" s="215"/>
      <c r="V34" s="69">
        <f>IF(T30&gt;0,(100%-T30)*'Knox &amp; Hamilton Remit Calcs'!I77,0)</f>
        <v>0</v>
      </c>
      <c r="W34" s="54"/>
      <c r="X34" s="29"/>
      <c r="Y34" s="75"/>
      <c r="Z34" s="23"/>
    </row>
    <row r="35" spans="2:26" ht="15.75" x14ac:dyDescent="0.25">
      <c r="B35" s="23"/>
      <c r="C35" s="71"/>
      <c r="D35" s="26"/>
      <c r="E35" s="46"/>
      <c r="F35" s="256"/>
      <c r="G35" s="257"/>
      <c r="H35" s="263"/>
      <c r="I35" s="259"/>
      <c r="J35" s="259"/>
      <c r="K35" s="257"/>
      <c r="L35" s="246"/>
      <c r="M35" s="29"/>
      <c r="N35" s="24"/>
      <c r="O35" s="26"/>
      <c r="P35" s="46"/>
      <c r="Q35" s="256"/>
      <c r="R35" s="257"/>
      <c r="S35" s="258"/>
      <c r="T35" s="259"/>
      <c r="U35" s="259"/>
      <c r="V35" s="257"/>
      <c r="W35" s="58"/>
      <c r="X35" s="29"/>
      <c r="Y35" s="75"/>
      <c r="Z35" s="23"/>
    </row>
    <row r="36" spans="2:26" ht="15.75" x14ac:dyDescent="0.25">
      <c r="B36" s="23"/>
      <c r="C36" s="71"/>
      <c r="D36" s="26"/>
      <c r="E36" s="17"/>
      <c r="F36" s="253"/>
      <c r="G36" s="254"/>
      <c r="H36" s="260"/>
      <c r="I36" s="255"/>
      <c r="J36" s="255"/>
      <c r="K36" s="254"/>
      <c r="L36" s="260"/>
      <c r="M36" s="29"/>
      <c r="N36" s="24"/>
      <c r="O36" s="26"/>
      <c r="P36" s="27"/>
      <c r="Q36" s="265"/>
      <c r="R36" s="266"/>
      <c r="S36" s="27"/>
      <c r="T36" s="267"/>
      <c r="U36" s="267"/>
      <c r="V36" s="266"/>
      <c r="W36" s="27"/>
      <c r="X36" s="29"/>
      <c r="Y36" s="75"/>
      <c r="Z36" s="23"/>
    </row>
    <row r="37" spans="2:26" ht="15.75" x14ac:dyDescent="0.25">
      <c r="B37" s="23"/>
      <c r="C37" s="71"/>
      <c r="D37" s="26"/>
      <c r="E37" s="294" t="s">
        <v>162</v>
      </c>
      <c r="F37" s="295"/>
      <c r="G37" s="295"/>
      <c r="H37" s="295"/>
      <c r="I37" s="295"/>
      <c r="J37" s="295"/>
      <c r="K37" s="295"/>
      <c r="L37" s="296"/>
      <c r="M37" s="29"/>
      <c r="N37" s="24"/>
      <c r="O37" s="26"/>
      <c r="P37" s="27"/>
      <c r="Q37" s="265"/>
      <c r="R37" s="266"/>
      <c r="S37" s="27"/>
      <c r="T37" s="267"/>
      <c r="U37" s="267"/>
      <c r="V37" s="266"/>
      <c r="W37" s="27"/>
      <c r="X37" s="29"/>
      <c r="Y37" s="75"/>
      <c r="Z37" s="23"/>
    </row>
    <row r="38" spans="2:26" ht="15.75" x14ac:dyDescent="0.25">
      <c r="B38" s="23"/>
      <c r="C38" s="71"/>
      <c r="D38" s="26"/>
      <c r="E38" s="222"/>
      <c r="F38" s="221"/>
      <c r="G38" s="221"/>
      <c r="H38" s="221"/>
      <c r="I38" s="221"/>
      <c r="J38" s="221"/>
      <c r="K38" s="221"/>
      <c r="L38" s="223"/>
      <c r="M38" s="29"/>
      <c r="N38" s="24"/>
      <c r="O38" s="26"/>
      <c r="P38" s="27"/>
      <c r="Q38" s="265"/>
      <c r="R38" s="266"/>
      <c r="S38" s="27"/>
      <c r="T38" s="267"/>
      <c r="U38" s="267"/>
      <c r="V38" s="266"/>
      <c r="W38" s="27"/>
      <c r="X38" s="29"/>
      <c r="Y38" s="75"/>
      <c r="Z38" s="23"/>
    </row>
    <row r="39" spans="2:26" ht="15.75" x14ac:dyDescent="0.25">
      <c r="B39" s="23"/>
      <c r="C39" s="71"/>
      <c r="D39" s="26"/>
      <c r="E39" s="218"/>
      <c r="F39" s="227"/>
      <c r="G39" s="228"/>
      <c r="H39" s="229"/>
      <c r="I39" s="216" t="s">
        <v>90</v>
      </c>
      <c r="J39" s="264" t="s">
        <v>87</v>
      </c>
      <c r="K39" s="228"/>
      <c r="L39" s="219"/>
      <c r="M39" s="29"/>
      <c r="N39" s="24"/>
      <c r="O39" s="26"/>
      <c r="P39" s="27"/>
      <c r="Q39" s="265"/>
      <c r="R39" s="266"/>
      <c r="S39" s="27"/>
      <c r="T39" s="267"/>
      <c r="U39" s="267"/>
      <c r="V39" s="266"/>
      <c r="W39" s="27"/>
      <c r="X39" s="29"/>
      <c r="Y39" s="75"/>
      <c r="Z39" s="23"/>
    </row>
    <row r="40" spans="2:26" ht="15.75" x14ac:dyDescent="0.25">
      <c r="B40" s="23"/>
      <c r="C40" s="71"/>
      <c r="D40" s="26"/>
      <c r="E40" s="21"/>
      <c r="F40" s="297" t="s">
        <v>163</v>
      </c>
      <c r="G40" s="298"/>
      <c r="H40" s="68"/>
      <c r="I40" s="268">
        <f>IF(I17=0,0,G25-I42)</f>
        <v>0</v>
      </c>
      <c r="J40" s="234">
        <f>IF(I17=0,0,K25-J42)</f>
        <v>0</v>
      </c>
      <c r="K40" s="236"/>
      <c r="L40" s="51"/>
      <c r="M40" s="29"/>
      <c r="N40" s="24"/>
      <c r="O40" s="26"/>
      <c r="P40" s="27"/>
      <c r="Q40" s="265"/>
      <c r="R40" s="266"/>
      <c r="S40" s="27"/>
      <c r="T40" s="267"/>
      <c r="U40" s="267"/>
      <c r="V40" s="266"/>
      <c r="W40" s="27"/>
      <c r="X40" s="29"/>
      <c r="Y40" s="75"/>
      <c r="Z40" s="23"/>
    </row>
    <row r="41" spans="2:26" ht="15.75" x14ac:dyDescent="0.25">
      <c r="B41" s="23"/>
      <c r="C41" s="71"/>
      <c r="D41" s="26"/>
      <c r="E41" s="225"/>
      <c r="F41" s="299" t="s">
        <v>164</v>
      </c>
      <c r="G41" s="300"/>
      <c r="H41" s="220"/>
      <c r="I41" s="269">
        <f>IF(I17=0,0,G22+G23-I40)</f>
        <v>0</v>
      </c>
      <c r="J41" s="235">
        <f>IF(I17=0,0,K22+K23-J40)</f>
        <v>0</v>
      </c>
      <c r="K41" s="237"/>
      <c r="L41" s="226"/>
      <c r="M41" s="29"/>
      <c r="N41" s="24"/>
      <c r="O41" s="26"/>
      <c r="P41" s="27"/>
      <c r="Q41" s="265"/>
      <c r="R41" s="266"/>
      <c r="S41" s="27"/>
      <c r="T41" s="267"/>
      <c r="U41" s="267"/>
      <c r="V41" s="266"/>
      <c r="W41" s="27"/>
      <c r="X41" s="29"/>
      <c r="Y41" s="75"/>
      <c r="Z41" s="23"/>
    </row>
    <row r="42" spans="2:26" ht="15.75" x14ac:dyDescent="0.25">
      <c r="B42" s="23"/>
      <c r="C42" s="71"/>
      <c r="D42" s="26"/>
      <c r="E42" s="21"/>
      <c r="F42" s="301" t="s">
        <v>165</v>
      </c>
      <c r="G42" s="302"/>
      <c r="H42" s="48"/>
      <c r="I42" s="270">
        <f>IF(I17=0,0,'Knox &amp; Hamilton Data'!D109)</f>
        <v>0</v>
      </c>
      <c r="J42" s="270">
        <f>IF(I17=0,0,'Knox &amp; Hamilton Data'!D111)</f>
        <v>0</v>
      </c>
      <c r="K42" s="238"/>
      <c r="L42" s="51"/>
      <c r="M42" s="29"/>
      <c r="N42" s="24"/>
      <c r="O42" s="26"/>
      <c r="P42" s="27"/>
      <c r="Q42" s="265"/>
      <c r="R42" s="266"/>
      <c r="S42" s="27"/>
      <c r="T42" s="267"/>
      <c r="U42" s="267"/>
      <c r="V42" s="266"/>
      <c r="W42" s="27"/>
      <c r="X42" s="29"/>
      <c r="Y42" s="75"/>
      <c r="Z42" s="23"/>
    </row>
    <row r="43" spans="2:26" ht="9.9499999999999993" customHeight="1" x14ac:dyDescent="0.25">
      <c r="B43" s="23"/>
      <c r="C43" s="71"/>
      <c r="D43" s="26"/>
      <c r="E43" s="46"/>
      <c r="F43" s="224"/>
      <c r="G43" s="224"/>
      <c r="H43" s="48"/>
      <c r="I43" s="231"/>
      <c r="J43" s="231"/>
      <c r="K43" s="230"/>
      <c r="L43" s="50"/>
      <c r="M43" s="29"/>
      <c r="N43" s="24"/>
      <c r="O43" s="26"/>
      <c r="P43" s="27"/>
      <c r="Q43" s="27"/>
      <c r="R43" s="27"/>
      <c r="S43" s="27"/>
      <c r="T43" s="27"/>
      <c r="U43" s="27"/>
      <c r="V43" s="27"/>
      <c r="W43" s="27"/>
      <c r="X43" s="29"/>
      <c r="Y43" s="75"/>
      <c r="Z43" s="23"/>
    </row>
    <row r="44" spans="2:26" ht="9.9499999999999993" customHeight="1" x14ac:dyDescent="0.25">
      <c r="B44" s="23"/>
      <c r="C44" s="71"/>
      <c r="D44" s="35"/>
      <c r="E44" s="36"/>
      <c r="F44" s="36"/>
      <c r="G44" s="37"/>
      <c r="H44" s="37"/>
      <c r="I44" s="36"/>
      <c r="J44" s="36"/>
      <c r="K44" s="36"/>
      <c r="L44" s="36"/>
      <c r="M44" s="38"/>
      <c r="N44" s="24"/>
      <c r="O44" s="35"/>
      <c r="P44" s="36"/>
      <c r="Q44" s="36"/>
      <c r="R44" s="36"/>
      <c r="S44" s="36"/>
      <c r="T44" s="36"/>
      <c r="U44" s="36"/>
      <c r="V44" s="36"/>
      <c r="W44" s="36"/>
      <c r="X44" s="38"/>
      <c r="Y44" s="75"/>
      <c r="Z44" s="23"/>
    </row>
    <row r="45" spans="2:26" ht="6.95" customHeight="1" x14ac:dyDescent="0.25">
      <c r="B45" s="23"/>
      <c r="C45" s="72"/>
      <c r="D45" s="73"/>
      <c r="E45" s="73"/>
      <c r="F45" s="73"/>
      <c r="G45" s="74"/>
      <c r="H45" s="74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6"/>
      <c r="Z45" s="23"/>
    </row>
    <row r="46" spans="2:26" ht="6.95" customHeight="1" x14ac:dyDescent="0.25">
      <c r="B46" s="23"/>
      <c r="C46" s="23"/>
      <c r="D46" s="23"/>
      <c r="E46" s="23"/>
      <c r="F46" s="52"/>
      <c r="G46" s="53"/>
      <c r="H46" s="53"/>
      <c r="I46" s="52"/>
      <c r="J46" s="5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2:26" ht="24" customHeight="1" x14ac:dyDescent="0.3">
      <c r="B47" s="138"/>
      <c r="C47" s="380" t="s">
        <v>144</v>
      </c>
      <c r="D47" s="380"/>
      <c r="E47" s="380"/>
      <c r="F47" s="380"/>
      <c r="G47" s="380"/>
      <c r="H47" s="380"/>
      <c r="I47" s="380"/>
      <c r="J47" s="380"/>
      <c r="K47" s="380"/>
      <c r="L47" s="380"/>
      <c r="M47" s="380"/>
      <c r="N47" s="138"/>
      <c r="O47" s="195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 t="s">
        <v>149</v>
      </c>
    </row>
  </sheetData>
  <sheetProtection password="EB27" sheet="1" objects="1" scenarios="1" selectLockedCells="1"/>
  <mergeCells count="38">
    <mergeCell ref="D11:M11"/>
    <mergeCell ref="O11:X11"/>
    <mergeCell ref="D13:G13"/>
    <mergeCell ref="Q14:R14"/>
    <mergeCell ref="C5:Y5"/>
    <mergeCell ref="C6:Y6"/>
    <mergeCell ref="C7:Y7"/>
    <mergeCell ref="C8:Y8"/>
    <mergeCell ref="D15:G15"/>
    <mergeCell ref="Q17:R17"/>
    <mergeCell ref="D17:G17"/>
    <mergeCell ref="E19:L19"/>
    <mergeCell ref="F21:G21"/>
    <mergeCell ref="I21:K21"/>
    <mergeCell ref="Q21:R21"/>
    <mergeCell ref="Q15:R15"/>
    <mergeCell ref="C47:M47"/>
    <mergeCell ref="I33:J33"/>
    <mergeCell ref="I34:J34"/>
    <mergeCell ref="F32:G32"/>
    <mergeCell ref="I32:K32"/>
    <mergeCell ref="E37:L37"/>
    <mergeCell ref="F40:G40"/>
    <mergeCell ref="F41:G41"/>
    <mergeCell ref="F42:G42"/>
    <mergeCell ref="Q32:R32"/>
    <mergeCell ref="I22:J22"/>
    <mergeCell ref="I23:J23"/>
    <mergeCell ref="I24:J24"/>
    <mergeCell ref="P19:V19"/>
    <mergeCell ref="P28:W28"/>
    <mergeCell ref="I25:J25"/>
    <mergeCell ref="E28:L28"/>
    <mergeCell ref="F30:G30"/>
    <mergeCell ref="Q30:R30"/>
    <mergeCell ref="T21:V21"/>
    <mergeCell ref="T25:U25"/>
    <mergeCell ref="T32:V32"/>
  </mergeCells>
  <phoneticPr fontId="19" type="noConversion"/>
  <hyperlinks>
    <hyperlink ref="F2" location="Menu!A1" display="Return To Main Menu"/>
    <hyperlink ref="C47" r:id="rId1"/>
    <hyperlink ref="D47" r:id="rId2" display="http://ratecalculator.fnf.com/"/>
    <hyperlink ref="E47" r:id="rId3" display="http://ratecalculator.fnf.com/"/>
    <hyperlink ref="F47" r:id="rId4" display="http://ratecalculator.fnf.com/"/>
    <hyperlink ref="G47" r:id="rId5" display="http://ratecalculator.fnf.com/"/>
    <hyperlink ref="H47" r:id="rId6" display="http://ratecalculator.fnf.com/"/>
    <hyperlink ref="I47" r:id="rId7" display="http://ratecalculator.fnf.com/"/>
    <hyperlink ref="J47" r:id="rId8" display="http://ratecalculator.fnf.com/"/>
    <hyperlink ref="K47" r:id="rId9" display="http://ratecalculator.fnf.com/"/>
    <hyperlink ref="L47" r:id="rId10" display="http://ratecalculator.fnf.com/"/>
    <hyperlink ref="M47" r:id="rId11" display="http://ratecalculator.fnf.com/"/>
  </hyperlinks>
  <printOptions horizontalCentered="1" verticalCentered="1"/>
  <pageMargins left="0.1" right="0.1" top="0.1" bottom="0.1" header="0" footer="0"/>
  <pageSetup scale="61" orientation="landscape" horizontalDpi="4294967292" verticalDpi="4294967292" r:id="rId12"/>
  <drawing r:id="rId13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U158"/>
  <sheetViews>
    <sheetView topLeftCell="A98" workbookViewId="0">
      <selection activeCell="J106" sqref="J106"/>
    </sheetView>
  </sheetViews>
  <sheetFormatPr defaultColWidth="0" defaultRowHeight="15.75" x14ac:dyDescent="0.25"/>
  <cols>
    <col min="1" max="3" width="1.125" customWidth="1"/>
    <col min="4" max="4" width="21.375" bestFit="1" customWidth="1"/>
    <col min="5" max="5" width="22.625" bestFit="1" customWidth="1"/>
    <col min="6" max="6" width="14.875" customWidth="1"/>
    <col min="7" max="7" width="12.375" bestFit="1" customWidth="1"/>
    <col min="8" max="8" width="18" customWidth="1"/>
    <col min="9" max="9" width="16.125" customWidth="1"/>
    <col min="10" max="10" width="20" bestFit="1" customWidth="1"/>
    <col min="11" max="11" width="10.875" customWidth="1"/>
    <col min="12" max="12" width="15.375" bestFit="1" customWidth="1"/>
    <col min="13" max="13" width="25.125" bestFit="1" customWidth="1"/>
    <col min="14" max="14" width="10.875" customWidth="1"/>
    <col min="15" max="15" width="25.125" bestFit="1" customWidth="1"/>
    <col min="16" max="18" width="1.125" customWidth="1"/>
    <col min="19" max="19" width="10.875" hidden="1" customWidth="1"/>
    <col min="20" max="21" width="0" hidden="1" customWidth="1"/>
    <col min="22" max="16384" width="10.875" hidden="1"/>
  </cols>
  <sheetData>
    <row r="2" spans="2:17" x14ac:dyDescent="0.25">
      <c r="B2" s="360" t="s">
        <v>106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</row>
    <row r="3" spans="2:17" x14ac:dyDescent="0.25">
      <c r="B3" s="363" t="s">
        <v>128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</row>
    <row r="4" spans="2:17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2:17" x14ac:dyDescent="0.25">
      <c r="B5" s="4"/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6"/>
    </row>
    <row r="6" spans="2:17" x14ac:dyDescent="0.25"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</row>
    <row r="7" spans="2:17" x14ac:dyDescent="0.25">
      <c r="B7" s="4"/>
      <c r="C7" s="4"/>
      <c r="D7" s="1" t="s">
        <v>60</v>
      </c>
      <c r="E7" s="2"/>
      <c r="F7" s="2"/>
      <c r="G7" s="2"/>
      <c r="H7" s="3"/>
      <c r="I7" s="5"/>
      <c r="J7" s="5"/>
      <c r="K7" s="5"/>
      <c r="L7" s="5"/>
      <c r="M7" s="5"/>
      <c r="N7" s="5"/>
      <c r="O7" s="5"/>
      <c r="P7" s="6"/>
      <c r="Q7" s="6"/>
    </row>
    <row r="8" spans="2:17" x14ac:dyDescent="0.25">
      <c r="B8" s="4"/>
      <c r="C8" s="4"/>
      <c r="D8" s="4" t="s">
        <v>0</v>
      </c>
      <c r="E8" s="5"/>
      <c r="F8" s="5" t="s">
        <v>1</v>
      </c>
      <c r="G8" s="5" t="s">
        <v>32</v>
      </c>
      <c r="H8" s="6" t="s">
        <v>40</v>
      </c>
      <c r="I8" s="5"/>
      <c r="J8" s="5"/>
      <c r="K8" s="5"/>
      <c r="L8" s="5"/>
      <c r="M8" s="5"/>
      <c r="N8" s="5"/>
      <c r="O8" s="5"/>
      <c r="P8" s="6"/>
      <c r="Q8" s="6"/>
    </row>
    <row r="9" spans="2:17" x14ac:dyDescent="0.25">
      <c r="B9" s="4"/>
      <c r="C9" s="4"/>
      <c r="D9" s="7">
        <f>'Knox &amp; Hamilton Rates'!I13</f>
        <v>0</v>
      </c>
      <c r="E9" s="5"/>
      <c r="F9" s="8">
        <f>ROUNDUP((D9/1000),0)</f>
        <v>0</v>
      </c>
      <c r="G9" s="5">
        <v>1</v>
      </c>
      <c r="H9" s="6">
        <f>IF(F9&gt;0,'Knox &amp; Hamilton Rate Table'!E6,0)</f>
        <v>0</v>
      </c>
      <c r="I9" s="5"/>
      <c r="J9" s="5"/>
      <c r="K9" s="5"/>
      <c r="L9" s="5"/>
      <c r="M9" s="5"/>
      <c r="N9" s="5"/>
      <c r="O9" s="5"/>
      <c r="P9" s="6"/>
      <c r="Q9" s="6"/>
    </row>
    <row r="10" spans="2:17" x14ac:dyDescent="0.25">
      <c r="B10" s="4"/>
      <c r="C10" s="4"/>
      <c r="D10" s="4"/>
      <c r="E10" s="5" t="s">
        <v>41</v>
      </c>
      <c r="F10" s="5" t="s">
        <v>2</v>
      </c>
      <c r="G10" s="5" t="s">
        <v>7</v>
      </c>
      <c r="H10" s="6" t="s">
        <v>8</v>
      </c>
      <c r="I10" s="5"/>
      <c r="J10" s="5"/>
      <c r="K10" s="5"/>
      <c r="L10" s="5"/>
      <c r="M10" s="5"/>
      <c r="N10" s="5"/>
      <c r="O10" s="5"/>
      <c r="P10" s="6"/>
      <c r="Q10" s="6"/>
    </row>
    <row r="11" spans="2:17" x14ac:dyDescent="0.25">
      <c r="B11" s="4"/>
      <c r="C11" s="4"/>
      <c r="D11" s="4"/>
      <c r="E11" s="5"/>
      <c r="F11" s="8">
        <f>F9-1</f>
        <v>-1</v>
      </c>
      <c r="G11" s="8">
        <f>IF(F11&gt;99,99,F11)</f>
        <v>-1</v>
      </c>
      <c r="H11" s="6">
        <f>IF(G11&gt;0,G11*'Knox &amp; Hamilton Rate Table'!E7,0)</f>
        <v>0</v>
      </c>
      <c r="I11" s="5"/>
      <c r="J11" s="5"/>
      <c r="K11" s="5"/>
      <c r="L11" s="5"/>
      <c r="M11" s="5"/>
      <c r="N11" s="5"/>
      <c r="O11" s="5"/>
      <c r="P11" s="6"/>
      <c r="Q11" s="6"/>
    </row>
    <row r="12" spans="2:17" x14ac:dyDescent="0.25">
      <c r="B12" s="4"/>
      <c r="C12" s="4"/>
      <c r="D12" s="4"/>
      <c r="E12" s="5" t="s">
        <v>24</v>
      </c>
      <c r="F12" s="5" t="s">
        <v>9</v>
      </c>
      <c r="G12" s="5" t="s">
        <v>7</v>
      </c>
      <c r="H12" s="6" t="s">
        <v>10</v>
      </c>
      <c r="I12" s="5"/>
      <c r="J12" s="5"/>
      <c r="K12" s="5"/>
      <c r="L12" s="5"/>
      <c r="M12" s="5"/>
      <c r="N12" s="5"/>
      <c r="O12" s="5"/>
      <c r="P12" s="6"/>
      <c r="Q12" s="6"/>
    </row>
    <row r="13" spans="2:17" x14ac:dyDescent="0.25">
      <c r="B13" s="4"/>
      <c r="C13" s="4"/>
      <c r="D13" s="4" t="s">
        <v>53</v>
      </c>
      <c r="E13" s="5"/>
      <c r="F13" s="8">
        <f>F11-99</f>
        <v>-100</v>
      </c>
      <c r="G13" s="5">
        <f>IF(F13&gt;900,900,F13)</f>
        <v>-100</v>
      </c>
      <c r="H13" s="6">
        <f>IF(G13&gt;0,G13*'Knox &amp; Hamilton Rate Table'!E8,0)</f>
        <v>0</v>
      </c>
      <c r="I13" s="5"/>
      <c r="J13" s="5"/>
      <c r="K13" s="5"/>
      <c r="L13" s="5"/>
      <c r="M13" s="5"/>
      <c r="N13" s="5"/>
      <c r="O13" s="5"/>
      <c r="P13" s="6"/>
      <c r="Q13" s="6"/>
    </row>
    <row r="14" spans="2:17" x14ac:dyDescent="0.25">
      <c r="B14" s="4"/>
      <c r="C14" s="4"/>
      <c r="D14" s="4">
        <f>H22</f>
        <v>0</v>
      </c>
      <c r="E14" s="5" t="s">
        <v>26</v>
      </c>
      <c r="F14" s="5" t="s">
        <v>16</v>
      </c>
      <c r="G14" s="5" t="s">
        <v>7</v>
      </c>
      <c r="H14" s="6" t="s">
        <v>22</v>
      </c>
      <c r="I14" s="5"/>
      <c r="J14" s="5"/>
      <c r="K14" s="5"/>
      <c r="L14" s="5"/>
      <c r="M14" s="5"/>
      <c r="N14" s="5"/>
      <c r="O14" s="5"/>
      <c r="P14" s="6"/>
      <c r="Q14" s="6"/>
    </row>
    <row r="15" spans="2:17" x14ac:dyDescent="0.25">
      <c r="B15" s="4"/>
      <c r="C15" s="4"/>
      <c r="D15" s="4" t="s">
        <v>52</v>
      </c>
      <c r="E15" s="5"/>
      <c r="F15" s="8">
        <f>F13-900</f>
        <v>-1000</v>
      </c>
      <c r="G15" s="5">
        <f>IF(F15&gt;4000,4000,F15)</f>
        <v>-1000</v>
      </c>
      <c r="H15" s="6">
        <f>IF(G15&gt;0,G15*'Knox &amp; Hamilton Rate Table'!E9, 0)</f>
        <v>0</v>
      </c>
      <c r="I15" s="5"/>
      <c r="J15" s="5"/>
      <c r="K15" s="5"/>
      <c r="L15" s="5"/>
      <c r="M15" s="5"/>
      <c r="N15" s="5"/>
      <c r="O15" s="5"/>
      <c r="P15" s="6"/>
      <c r="Q15" s="6"/>
    </row>
    <row r="16" spans="2:17" x14ac:dyDescent="0.25">
      <c r="B16" s="4"/>
      <c r="C16" s="4"/>
      <c r="D16" s="4">
        <f>D14*1.2</f>
        <v>0</v>
      </c>
      <c r="E16" s="5" t="s">
        <v>25</v>
      </c>
      <c r="F16" s="5" t="s">
        <v>50</v>
      </c>
      <c r="G16" s="5" t="s">
        <v>7</v>
      </c>
      <c r="H16" s="6" t="s">
        <v>29</v>
      </c>
      <c r="I16" s="5"/>
      <c r="J16" s="5"/>
      <c r="K16" s="5"/>
      <c r="L16" s="5"/>
      <c r="M16" s="5"/>
      <c r="N16" s="5"/>
      <c r="O16" s="5"/>
      <c r="P16" s="6"/>
      <c r="Q16" s="6"/>
    </row>
    <row r="17" spans="2:20" x14ac:dyDescent="0.25">
      <c r="B17" s="4"/>
      <c r="C17" s="4"/>
      <c r="D17" s="4" t="s">
        <v>55</v>
      </c>
      <c r="E17" s="5"/>
      <c r="F17" s="8">
        <f>F15-4000</f>
        <v>-5000</v>
      </c>
      <c r="G17" s="5">
        <f>IF(F17&gt;5000,5000,F17)</f>
        <v>-5000</v>
      </c>
      <c r="H17" s="6">
        <f>IF(G17&gt;0,G17*'Knox &amp; Hamilton Rate Table'!E10,0)</f>
        <v>0</v>
      </c>
      <c r="I17" s="5"/>
      <c r="J17" s="5"/>
      <c r="K17" s="5"/>
      <c r="L17" s="5"/>
      <c r="M17" s="5"/>
      <c r="N17" s="5"/>
      <c r="O17" s="5"/>
      <c r="P17" s="6"/>
      <c r="Q17" s="6"/>
    </row>
    <row r="18" spans="2:20" x14ac:dyDescent="0.25">
      <c r="B18" s="4"/>
      <c r="C18" s="4"/>
      <c r="D18" s="4">
        <f>D14*0.7</f>
        <v>0</v>
      </c>
      <c r="E18" s="5" t="s">
        <v>27</v>
      </c>
      <c r="F18" s="5" t="s">
        <v>51</v>
      </c>
      <c r="G18" s="5" t="s">
        <v>7</v>
      </c>
      <c r="H18" s="6" t="s">
        <v>31</v>
      </c>
      <c r="I18" s="5"/>
      <c r="J18" s="5"/>
      <c r="K18" s="5"/>
      <c r="L18" s="5"/>
      <c r="M18" s="5"/>
      <c r="N18" s="5"/>
      <c r="O18" s="5"/>
      <c r="P18" s="6"/>
      <c r="Q18" s="6"/>
    </row>
    <row r="19" spans="2:20" x14ac:dyDescent="0.25">
      <c r="B19" s="4"/>
      <c r="C19" s="4"/>
      <c r="D19" s="4"/>
      <c r="E19" s="5"/>
      <c r="F19" s="8">
        <f>F17-5000</f>
        <v>-10000</v>
      </c>
      <c r="G19" s="8">
        <f>IF(F19&gt;5000,5000,F19)</f>
        <v>-10000</v>
      </c>
      <c r="H19" s="6">
        <f>IF(G19&gt;0,G19*'Knox &amp; Hamilton Rate Table'!E11,0)</f>
        <v>0</v>
      </c>
      <c r="I19" s="5"/>
      <c r="J19" s="5"/>
      <c r="K19" s="5"/>
      <c r="L19" s="5"/>
      <c r="M19" s="5"/>
      <c r="N19" s="5"/>
      <c r="O19" s="5"/>
      <c r="P19" s="6"/>
      <c r="Q19" s="6"/>
    </row>
    <row r="20" spans="2:20" x14ac:dyDescent="0.25">
      <c r="B20" s="4"/>
      <c r="C20" s="4"/>
      <c r="D20" s="4"/>
      <c r="E20" s="5" t="s">
        <v>15</v>
      </c>
      <c r="F20" s="5" t="s">
        <v>30</v>
      </c>
      <c r="G20" s="5" t="s">
        <v>7</v>
      </c>
      <c r="H20" s="6" t="s">
        <v>45</v>
      </c>
      <c r="I20" s="5"/>
      <c r="J20" s="5"/>
      <c r="K20" s="5"/>
      <c r="L20" s="5"/>
      <c r="M20" s="5"/>
      <c r="N20" s="5"/>
      <c r="O20" s="5"/>
      <c r="P20" s="6"/>
      <c r="Q20" s="6"/>
    </row>
    <row r="21" spans="2:20" x14ac:dyDescent="0.25">
      <c r="B21" s="4"/>
      <c r="C21" s="4"/>
      <c r="D21" s="4"/>
      <c r="E21" s="5"/>
      <c r="F21" s="8">
        <f>F19-5000</f>
        <v>-15000</v>
      </c>
      <c r="G21" s="8">
        <f>F21</f>
        <v>-15000</v>
      </c>
      <c r="H21" s="6">
        <f>IF(G21&gt;0,G21*'Knox &amp; Hamilton Rate Table'!E12,0)</f>
        <v>0</v>
      </c>
      <c r="I21" s="5"/>
      <c r="J21" s="5"/>
      <c r="K21" s="5"/>
      <c r="L21" s="5"/>
      <c r="M21" s="5"/>
      <c r="N21" s="5"/>
      <c r="O21" s="5"/>
      <c r="P21" s="6"/>
      <c r="Q21" s="6"/>
    </row>
    <row r="22" spans="2:20" x14ac:dyDescent="0.25">
      <c r="B22" s="4"/>
      <c r="C22" s="4"/>
      <c r="D22" s="9"/>
      <c r="E22" s="10"/>
      <c r="F22" s="11" t="s">
        <v>33</v>
      </c>
      <c r="G22" s="11">
        <f>SUM(G9:G21)</f>
        <v>-31100</v>
      </c>
      <c r="H22" s="12">
        <f>SUM(H9:H21)</f>
        <v>0</v>
      </c>
      <c r="I22" s="5"/>
      <c r="J22" s="5"/>
      <c r="K22" s="5"/>
      <c r="L22" s="5"/>
      <c r="M22" s="5"/>
      <c r="N22" s="5"/>
      <c r="O22" s="5"/>
      <c r="P22" s="6"/>
      <c r="Q22" s="6"/>
    </row>
    <row r="23" spans="2:20" x14ac:dyDescent="0.25"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6"/>
    </row>
    <row r="24" spans="2:20" x14ac:dyDescent="0.25">
      <c r="B24" s="4"/>
      <c r="C24" s="4"/>
      <c r="D24" s="13" t="s">
        <v>61</v>
      </c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</row>
    <row r="25" spans="2:20" x14ac:dyDescent="0.25">
      <c r="B25" s="4"/>
      <c r="C25" s="4"/>
      <c r="D25" s="4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6"/>
    </row>
    <row r="26" spans="2:20" x14ac:dyDescent="0.25">
      <c r="B26" s="4"/>
      <c r="C26" s="4"/>
      <c r="D26" s="9" t="s">
        <v>57</v>
      </c>
      <c r="E26" s="14">
        <f>ROUNDUP(('Knox &amp; Hamilton Rates'!I17/1000),0)</f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  <c r="Q26" s="6"/>
    </row>
    <row r="27" spans="2:20" x14ac:dyDescent="0.25">
      <c r="B27" s="4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6"/>
    </row>
    <row r="28" spans="2:20" x14ac:dyDescent="0.25">
      <c r="B28" s="4"/>
      <c r="C28" s="4"/>
      <c r="D28" s="13" t="s">
        <v>66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6"/>
      <c r="Q28" s="6"/>
    </row>
    <row r="29" spans="2:20" x14ac:dyDescent="0.25">
      <c r="B29" s="4"/>
      <c r="C29" s="4"/>
      <c r="D29" s="4" t="s">
        <v>65</v>
      </c>
      <c r="E29" s="5"/>
      <c r="F29" s="8">
        <f>E26-F9</f>
        <v>0</v>
      </c>
      <c r="G29" s="5"/>
      <c r="H29" s="5"/>
      <c r="I29" s="5"/>
      <c r="J29" s="5"/>
      <c r="K29" s="5"/>
      <c r="L29" s="5"/>
      <c r="M29" s="5"/>
      <c r="N29" s="5"/>
      <c r="O29" s="6"/>
      <c r="P29" s="6"/>
      <c r="Q29" s="6"/>
    </row>
    <row r="30" spans="2:20" x14ac:dyDescent="0.25">
      <c r="B30" s="4"/>
      <c r="C30" s="4"/>
      <c r="D30" s="4"/>
      <c r="E30" s="5"/>
      <c r="F30" s="5"/>
      <c r="G30" s="5" t="s">
        <v>64</v>
      </c>
      <c r="H30" s="5" t="s">
        <v>118</v>
      </c>
      <c r="I30" s="5" t="s">
        <v>117</v>
      </c>
      <c r="J30" s="5" t="s">
        <v>120</v>
      </c>
      <c r="K30" s="17" t="s">
        <v>119</v>
      </c>
      <c r="L30" s="17" t="s">
        <v>122</v>
      </c>
      <c r="M30" s="17" t="s">
        <v>123</v>
      </c>
      <c r="N30" s="5" t="s">
        <v>71</v>
      </c>
      <c r="O30" s="6" t="s">
        <v>72</v>
      </c>
      <c r="P30" s="6"/>
      <c r="Q30" s="6"/>
      <c r="R30" s="5"/>
      <c r="S30" s="5"/>
      <c r="T30" s="5"/>
    </row>
    <row r="31" spans="2:20" x14ac:dyDescent="0.25">
      <c r="B31" s="4"/>
      <c r="C31" s="4"/>
      <c r="D31" s="4">
        <v>1</v>
      </c>
      <c r="E31" s="5">
        <v>0</v>
      </c>
      <c r="F31" s="5">
        <v>1</v>
      </c>
      <c r="G31" s="5" t="b">
        <f>IF(AND(F9&gt;E31,F9&lt;=F31), TRUE, FALSE)</f>
        <v>0</v>
      </c>
      <c r="H31" s="17">
        <v>1</v>
      </c>
      <c r="I31" s="8">
        <f>IF(G31=TRUE,ABS(((F31-F9))),0)</f>
        <v>0</v>
      </c>
      <c r="J31" s="5">
        <v>0</v>
      </c>
      <c r="K31" s="132">
        <v>0</v>
      </c>
      <c r="L31" s="132">
        <v>0</v>
      </c>
      <c r="M31" s="141">
        <v>0</v>
      </c>
      <c r="N31" s="5">
        <f>IF(AND(SUM(J31:J37)&lt;0,G31=TRUE),F29*'Knox &amp; Hamilton Rate Table'!E6,IF((I31+J31+K31)&lt;0,0,(J31+I31+K31)*'Knox &amp; Hamilton Rate Table'!E6))</f>
        <v>0</v>
      </c>
      <c r="O31" s="6">
        <f>N31*1.2</f>
        <v>0</v>
      </c>
      <c r="P31" s="6"/>
      <c r="Q31" s="6"/>
      <c r="R31" s="5"/>
      <c r="S31" s="5"/>
      <c r="T31" s="5"/>
    </row>
    <row r="32" spans="2:20" x14ac:dyDescent="0.25">
      <c r="B32" s="4"/>
      <c r="C32" s="4"/>
      <c r="D32" s="4">
        <v>2</v>
      </c>
      <c r="E32" s="5">
        <v>1</v>
      </c>
      <c r="F32" s="5">
        <v>100</v>
      </c>
      <c r="G32" s="5" t="b">
        <f>IF(AND(F9&gt;=E32,F9&lt;=F32), TRUE, FALSE)</f>
        <v>0</v>
      </c>
      <c r="H32" s="17">
        <v>99</v>
      </c>
      <c r="I32" s="8">
        <f>IF(G32=TRUE,ABS((F32-F9)),0)</f>
        <v>0</v>
      </c>
      <c r="J32" s="5">
        <f>IF(I31&gt;0,IF((F29-I31)&gt;H32,H32,F29-I31),0)</f>
        <v>0</v>
      </c>
      <c r="K32" s="132">
        <v>0</v>
      </c>
      <c r="L32" s="132">
        <f>E26-F31</f>
        <v>-1</v>
      </c>
      <c r="M32" s="141">
        <f>IF(AND(L32&gt;0,SUM(I32:K32)=0,G31=TRUE),L32*'Knox &amp; Hamilton Rate Table'!E7,0)</f>
        <v>0</v>
      </c>
      <c r="N32" s="5">
        <f>IF(AND(SUM(J31:J37)&lt;0,G32=TRUE),F29*'Knox &amp; Hamilton Rate Table'!E7,IF((I32+J32+K32)&lt;0,0,(J32+I32+K32)*'Knox &amp; Hamilton Rate Table'!E7))</f>
        <v>0</v>
      </c>
      <c r="O32" s="6">
        <f t="shared" ref="O32:O37" si="0">N32*1.2</f>
        <v>0</v>
      </c>
      <c r="P32" s="6"/>
      <c r="Q32" s="6"/>
      <c r="R32" s="5"/>
      <c r="S32" s="5"/>
      <c r="T32" s="5"/>
    </row>
    <row r="33" spans="2:20" x14ac:dyDescent="0.25">
      <c r="B33" s="4"/>
      <c r="C33" s="4"/>
      <c r="D33" s="4">
        <v>3</v>
      </c>
      <c r="E33" s="5">
        <v>100</v>
      </c>
      <c r="F33" s="5">
        <v>1000</v>
      </c>
      <c r="G33" s="5" t="b">
        <f>IF(AND(F9&gt;E33,F9&lt;=F33), TRUE, FALSE)</f>
        <v>0</v>
      </c>
      <c r="H33" s="17">
        <v>900</v>
      </c>
      <c r="I33" s="8">
        <f>IF(G33=TRUE,ABS((F33-F9)),0)</f>
        <v>0</v>
      </c>
      <c r="J33" s="5">
        <f>IF(I32&gt;0,IF((F29-I32)&gt;H33,H33,F29-I32),0)</f>
        <v>0</v>
      </c>
      <c r="K33" s="132">
        <f>IF(AND((J32+I31)&lt;F29,(J32+I31)&gt;0),F29-(J32+I31),0)</f>
        <v>0</v>
      </c>
      <c r="L33" s="132">
        <f>E26-F32</f>
        <v>-100</v>
      </c>
      <c r="M33" s="141">
        <f>IF(AND(L33&gt;0,SUM(I33:K33)=0,G32=TRUE),L33*'Knox &amp; Hamilton Rate Table'!E8,0)</f>
        <v>0</v>
      </c>
      <c r="N33" s="5">
        <f>IF(AND(SUM(J31:J37)&lt;0,G33=TRUE),F29*'Knox &amp; Hamilton Rate Table'!E8,IF((I33+J33+K33)&lt;0,0,(J33+I33+K33)*'Knox &amp; Hamilton Rate Table'!E8))</f>
        <v>0</v>
      </c>
      <c r="O33" s="6">
        <f t="shared" si="0"/>
        <v>0</v>
      </c>
      <c r="P33" s="6"/>
      <c r="Q33" s="6"/>
      <c r="R33" s="5"/>
      <c r="S33" s="5"/>
      <c r="T33" s="5"/>
    </row>
    <row r="34" spans="2:20" x14ac:dyDescent="0.25">
      <c r="B34" s="4"/>
      <c r="C34" s="4"/>
      <c r="D34" s="4">
        <v>4</v>
      </c>
      <c r="E34" s="5">
        <v>1000</v>
      </c>
      <c r="F34" s="5">
        <v>5000</v>
      </c>
      <c r="G34" s="5" t="b">
        <f>IF(AND(F9&gt;E34,F9&lt;=F34), TRUE, FALSE)</f>
        <v>0</v>
      </c>
      <c r="H34" s="17">
        <v>4000</v>
      </c>
      <c r="I34" s="8">
        <f>IF(G34=TRUE,ABS((F34-F9)),0)</f>
        <v>0</v>
      </c>
      <c r="J34" s="5">
        <f>IF(I33&gt;0,IF((F29-I33)&gt;H34,H34,F29-I33),0)</f>
        <v>0</v>
      </c>
      <c r="K34" s="132">
        <f>IF(AND((J33+I32)&lt;F29,(J33+I32)&gt;0),F29-(J33+I32),0)</f>
        <v>0</v>
      </c>
      <c r="L34" s="132">
        <f>E26-F33</f>
        <v>-1000</v>
      </c>
      <c r="M34" s="141">
        <f>IF(AND(L34&gt;0,SUM(I34:K34)=0,G33=TRUE),L34*'Knox &amp; Hamilton Rate Table'!E9,0)</f>
        <v>0</v>
      </c>
      <c r="N34" s="5">
        <f>IF(AND(SUM(J31:J37)&lt;0,G34=TRUE),F29*'Knox &amp; Hamilton Rate Table'!E9,IF((I34+J34+K34)&lt;0,0,(J34+I34+K34)*'Knox &amp; Hamilton Rate Table'!E9))</f>
        <v>0</v>
      </c>
      <c r="O34" s="6">
        <f t="shared" si="0"/>
        <v>0</v>
      </c>
      <c r="P34" s="6"/>
      <c r="Q34" s="6"/>
      <c r="R34" s="5"/>
      <c r="S34" s="5"/>
      <c r="T34" s="5"/>
    </row>
    <row r="35" spans="2:20" x14ac:dyDescent="0.25">
      <c r="B35" s="4"/>
      <c r="C35" s="4"/>
      <c r="D35" s="4">
        <v>5</v>
      </c>
      <c r="E35" s="5">
        <v>5000</v>
      </c>
      <c r="F35" s="5">
        <v>10000</v>
      </c>
      <c r="G35" s="5" t="b">
        <f>IF(AND(F9&gt;E35,F9&lt;=F35), TRUE, FALSE)</f>
        <v>0</v>
      </c>
      <c r="H35" s="17">
        <v>5000</v>
      </c>
      <c r="I35" s="8">
        <f>IF(G35=TRUE,ABS((F35-F9)),0)</f>
        <v>0</v>
      </c>
      <c r="J35" s="5">
        <f>IF(I34&gt;0,IF((F29-I34)&gt;H35,H35,F29-I34),0)</f>
        <v>0</v>
      </c>
      <c r="K35" s="132">
        <f>IF(AND((J34+I33)&lt;F29,(J34+I33)&gt;0),F29-(J34+I33),0)</f>
        <v>0</v>
      </c>
      <c r="L35" s="132">
        <f>E26-F34</f>
        <v>-5000</v>
      </c>
      <c r="M35" s="141">
        <f>IF(AND(L35&gt;0,SUM(I35:K35)=0,G34=TRUE),L35*'Knox &amp; Hamilton Rate Table'!E10,0)</f>
        <v>0</v>
      </c>
      <c r="N35" s="5">
        <f>IF(AND(SUM(J31:J37)&lt;0,G35=TRUE),F29*'Knox &amp; Hamilton Rate Table'!E10,IF((I35+J35+K35)&lt;0,0,(J35+I35+K35)*'Knox &amp; Hamilton Rate Table'!E10))</f>
        <v>0</v>
      </c>
      <c r="O35" s="6">
        <f t="shared" si="0"/>
        <v>0</v>
      </c>
      <c r="P35" s="6"/>
      <c r="Q35" s="6"/>
      <c r="R35" s="5"/>
      <c r="S35" s="5"/>
      <c r="T35" s="5"/>
    </row>
    <row r="36" spans="2:20" x14ac:dyDescent="0.25">
      <c r="B36" s="4"/>
      <c r="C36" s="4"/>
      <c r="D36" s="4">
        <v>6</v>
      </c>
      <c r="E36" s="5">
        <v>10000</v>
      </c>
      <c r="F36" s="5">
        <v>15000</v>
      </c>
      <c r="G36" s="5" t="b">
        <f>IF(AND(F9&gt;E36,F9&lt;=F36), TRUE, FALSE)</f>
        <v>0</v>
      </c>
      <c r="H36" s="17">
        <v>5000</v>
      </c>
      <c r="I36" s="8">
        <f>IF(G36=TRUE,ABS((F36-F9)),0)</f>
        <v>0</v>
      </c>
      <c r="J36" s="5">
        <f>IF(I35&gt;0,IF((F29-I35)&gt;H36,H36,F29-I35),0)</f>
        <v>0</v>
      </c>
      <c r="K36" s="132">
        <f>IF(AND((J35+I34)&lt;F29,(J35+I34)&gt;0),F29-(J35+I34),0)</f>
        <v>0</v>
      </c>
      <c r="L36" s="132">
        <f>E26-F35</f>
        <v>-10000</v>
      </c>
      <c r="M36" s="141">
        <f>IF(AND(L36&gt;0,SUM(I36:K36)=0,G35=TRUE),L36*'Knox &amp; Hamilton Rate Table'!E11,0)</f>
        <v>0</v>
      </c>
      <c r="N36" s="5">
        <f>IF(AND(SUM(J31:J37)&lt;0,G36=TRUE),F29*'Knox &amp; Hamilton Rate Table'!E11,IF((I36+J36+K36)&lt;0,0,(J36+I36+K36)*'Knox &amp; Hamilton Rate Table'!E11))</f>
        <v>0</v>
      </c>
      <c r="O36" s="6">
        <f t="shared" si="0"/>
        <v>0</v>
      </c>
      <c r="P36" s="6"/>
      <c r="Q36" s="6"/>
      <c r="R36" s="5"/>
      <c r="S36" s="5"/>
      <c r="T36" s="5"/>
    </row>
    <row r="37" spans="2:20" x14ac:dyDescent="0.25">
      <c r="B37" s="4"/>
      <c r="C37" s="4"/>
      <c r="D37" s="4">
        <v>7</v>
      </c>
      <c r="E37" s="5">
        <v>15000</v>
      </c>
      <c r="F37" s="5"/>
      <c r="G37" s="5" t="b">
        <f>IF(F9&gt;E37, TRUE, FALSE)</f>
        <v>0</v>
      </c>
      <c r="H37" s="5"/>
      <c r="I37" s="8">
        <f>IF(G37=TRUE,F29,0)</f>
        <v>0</v>
      </c>
      <c r="J37" s="5">
        <f>IF(I36&gt;0,IF((F29-I36)&gt;H37,H37,F29-I36),0)</f>
        <v>0</v>
      </c>
      <c r="K37" s="132">
        <f>IF(AND((J36+I35)&lt;F29,(J36+I35)&gt;0),F29-(J36+I35),0)</f>
        <v>0</v>
      </c>
      <c r="L37" s="132">
        <f>E26-F36</f>
        <v>-15000</v>
      </c>
      <c r="M37" s="141">
        <f>IF(AND(L37&gt;0,SUM(I37:K37)=0,G36=TRUE),L37*'Knox &amp; Hamilton Rate Table'!E12,0)</f>
        <v>0</v>
      </c>
      <c r="N37" s="5">
        <f>IF(AND(SUM(J31:J37)&lt;0,G37=TRUE),F29*'Knox &amp; Hamilton Rate Table'!E12,IF((I37+J37+K37)&lt;0,0,(J37+I37+K37)*'Knox &amp; Hamilton Rate Table'!E12))</f>
        <v>0</v>
      </c>
      <c r="O37" s="6">
        <f t="shared" si="0"/>
        <v>0</v>
      </c>
      <c r="P37" s="6"/>
      <c r="Q37" s="6"/>
      <c r="R37" s="5"/>
      <c r="S37" s="5"/>
      <c r="T37" s="5"/>
    </row>
    <row r="38" spans="2:20" x14ac:dyDescent="0.25">
      <c r="B38" s="4"/>
      <c r="C38" s="4"/>
      <c r="D38" s="4"/>
      <c r="E38" s="5"/>
      <c r="F38" s="5" t="s">
        <v>68</v>
      </c>
      <c r="G38" s="5"/>
      <c r="H38" s="5"/>
      <c r="I38" s="5"/>
      <c r="J38" s="5"/>
      <c r="K38" s="5"/>
      <c r="L38" s="5"/>
      <c r="M38" s="5"/>
      <c r="N38" s="15">
        <f>IF(SUM(N31:N37)&lt;0,0,((SUM(N31:N37))*0.7))</f>
        <v>0</v>
      </c>
      <c r="O38" s="16">
        <f>N38*1.2</f>
        <v>0</v>
      </c>
      <c r="P38" s="6"/>
      <c r="Q38" s="6"/>
      <c r="R38" s="5"/>
      <c r="S38" s="5"/>
      <c r="T38" s="5"/>
    </row>
    <row r="39" spans="2:20" x14ac:dyDescent="0.25">
      <c r="B39" s="4"/>
      <c r="C39" s="4"/>
      <c r="D39" s="4"/>
      <c r="E39" s="5"/>
      <c r="F39" s="5" t="s">
        <v>69</v>
      </c>
      <c r="G39" s="5"/>
      <c r="H39" s="5"/>
      <c r="I39" s="5"/>
      <c r="J39" s="5"/>
      <c r="K39" s="5"/>
      <c r="L39" s="5"/>
      <c r="M39" s="5"/>
      <c r="N39" s="15">
        <f>IF(E26&gt;0,35,0)</f>
        <v>0</v>
      </c>
      <c r="O39" s="16">
        <f>IF(E26&gt;0,35,0)</f>
        <v>0</v>
      </c>
      <c r="P39" s="6"/>
      <c r="Q39" s="6"/>
      <c r="R39" s="5"/>
      <c r="S39" s="5"/>
      <c r="T39" s="5"/>
    </row>
    <row r="40" spans="2:20" x14ac:dyDescent="0.25">
      <c r="B40" s="4"/>
      <c r="C40" s="4"/>
      <c r="D40" s="9"/>
      <c r="E40" s="10"/>
      <c r="F40" s="10" t="s">
        <v>70</v>
      </c>
      <c r="G40" s="10"/>
      <c r="H40" s="10"/>
      <c r="I40" s="10"/>
      <c r="J40" s="10"/>
      <c r="K40" s="10"/>
      <c r="L40" s="10"/>
      <c r="M40" s="10"/>
      <c r="N40" s="11">
        <f>N39+N38</f>
        <v>0</v>
      </c>
      <c r="O40" s="12">
        <f>O39+O38</f>
        <v>0</v>
      </c>
      <c r="P40" s="6"/>
      <c r="Q40" s="6"/>
      <c r="R40" s="5"/>
      <c r="S40" s="5"/>
      <c r="T40" s="5"/>
    </row>
    <row r="41" spans="2:20" x14ac:dyDescent="0.25">
      <c r="B41" s="4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  <c r="Q41" s="6"/>
    </row>
    <row r="42" spans="2:20" x14ac:dyDescent="0.25">
      <c r="B42" s="4"/>
      <c r="C42" s="4"/>
      <c r="D42" s="13" t="s">
        <v>75</v>
      </c>
      <c r="E42" s="2"/>
      <c r="F42" s="2"/>
      <c r="G42" s="2"/>
      <c r="H42" s="2"/>
      <c r="I42" s="2"/>
      <c r="J42" s="2"/>
      <c r="K42" s="3"/>
      <c r="L42" s="5"/>
      <c r="M42" s="5"/>
      <c r="N42" s="5"/>
      <c r="O42" s="5"/>
      <c r="P42" s="6"/>
      <c r="Q42" s="6"/>
    </row>
    <row r="43" spans="2:20" x14ac:dyDescent="0.25">
      <c r="B43" s="4"/>
      <c r="C43" s="4"/>
      <c r="D43" s="4"/>
      <c r="E43" s="5"/>
      <c r="F43" s="5" t="s">
        <v>62</v>
      </c>
      <c r="G43" s="5" t="s">
        <v>63</v>
      </c>
      <c r="H43" s="5"/>
      <c r="I43" s="5"/>
      <c r="J43" s="5"/>
      <c r="K43" s="6"/>
      <c r="L43" s="5"/>
      <c r="M43" s="5"/>
      <c r="N43" s="5"/>
      <c r="O43" s="5"/>
      <c r="P43" s="6"/>
      <c r="Q43" s="6"/>
    </row>
    <row r="44" spans="2:20" x14ac:dyDescent="0.25">
      <c r="B44" s="4"/>
      <c r="C44" s="4"/>
      <c r="D44" s="4" t="s">
        <v>0</v>
      </c>
      <c r="E44" s="5"/>
      <c r="F44" s="5">
        <v>0</v>
      </c>
      <c r="G44" s="5">
        <v>1</v>
      </c>
      <c r="H44" s="5" t="s">
        <v>1</v>
      </c>
      <c r="I44" s="5" t="s">
        <v>32</v>
      </c>
      <c r="J44" s="5" t="s">
        <v>3</v>
      </c>
      <c r="K44" s="19" t="s">
        <v>76</v>
      </c>
      <c r="L44" s="5"/>
      <c r="M44" s="5"/>
      <c r="N44" s="5"/>
      <c r="O44" s="5"/>
      <c r="P44" s="6"/>
      <c r="Q44" s="6"/>
    </row>
    <row r="45" spans="2:20" x14ac:dyDescent="0.25">
      <c r="B45" s="4"/>
      <c r="C45" s="4"/>
      <c r="D45" s="7">
        <f>IF('Knox &amp; Hamilton Rates'!I15&gt;'Knox &amp; Hamilton Rates'!I13,'Knox &amp; Hamilton Rates'!I13,'Knox &amp; Hamilton Rates'!I15)</f>
        <v>0</v>
      </c>
      <c r="E45" s="5"/>
      <c r="F45" s="5"/>
      <c r="G45" s="5"/>
      <c r="H45" s="8">
        <f>ROUNDUP((D45/1000),0)</f>
        <v>0</v>
      </c>
      <c r="I45" s="5">
        <v>1</v>
      </c>
      <c r="J45" s="5">
        <f>IF(H45&gt;0,'Knox &amp; Hamilton Rate Table'!E6,0)</f>
        <v>0</v>
      </c>
      <c r="K45" s="6">
        <f>J45*1.2</f>
        <v>0</v>
      </c>
      <c r="L45" s="5"/>
      <c r="M45" s="5"/>
      <c r="N45" s="5"/>
      <c r="O45" s="5"/>
      <c r="P45" s="6"/>
      <c r="Q45" s="6"/>
    </row>
    <row r="46" spans="2:20" x14ac:dyDescent="0.25">
      <c r="B46" s="4"/>
      <c r="C46" s="4"/>
      <c r="D46" s="4"/>
      <c r="E46" s="5" t="s">
        <v>23</v>
      </c>
      <c r="F46" s="5">
        <v>2</v>
      </c>
      <c r="G46" s="5">
        <v>100</v>
      </c>
      <c r="H46" s="5" t="s">
        <v>2</v>
      </c>
      <c r="I46" s="5" t="s">
        <v>7</v>
      </c>
      <c r="J46" s="5" t="s">
        <v>8</v>
      </c>
      <c r="K46" s="6"/>
      <c r="L46" s="5"/>
      <c r="M46" s="5"/>
      <c r="N46" s="5"/>
      <c r="O46" s="5"/>
      <c r="P46" s="6"/>
      <c r="Q46" s="6"/>
    </row>
    <row r="47" spans="2:20" x14ac:dyDescent="0.25">
      <c r="B47" s="4"/>
      <c r="C47" s="4"/>
      <c r="D47" s="4"/>
      <c r="E47" s="5"/>
      <c r="F47" s="5"/>
      <c r="G47" s="5"/>
      <c r="H47" s="8">
        <f>H45-1</f>
        <v>-1</v>
      </c>
      <c r="I47" s="8">
        <f>IF(H47&gt;99,99,H47)</f>
        <v>-1</v>
      </c>
      <c r="J47" s="5">
        <f>IF(I47&gt;0,I47*'Knox &amp; Hamilton Rate Table'!E7,0)</f>
        <v>0</v>
      </c>
      <c r="K47" s="6">
        <f>J47*1.2</f>
        <v>0</v>
      </c>
      <c r="L47" s="5"/>
      <c r="M47" s="5"/>
      <c r="N47" s="5"/>
      <c r="O47" s="5"/>
      <c r="P47" s="6"/>
      <c r="Q47" s="6"/>
    </row>
    <row r="48" spans="2:20" x14ac:dyDescent="0.25">
      <c r="B48" s="4"/>
      <c r="C48" s="4"/>
      <c r="D48" s="4"/>
      <c r="E48" s="5" t="s">
        <v>24</v>
      </c>
      <c r="F48" s="5">
        <v>100</v>
      </c>
      <c r="G48" s="5">
        <v>1000</v>
      </c>
      <c r="H48" s="5" t="s">
        <v>9</v>
      </c>
      <c r="I48" s="5" t="s">
        <v>7</v>
      </c>
      <c r="J48" s="5" t="s">
        <v>10</v>
      </c>
      <c r="K48" s="6"/>
      <c r="L48" s="5"/>
      <c r="M48" s="5"/>
      <c r="N48" s="5"/>
      <c r="O48" s="5"/>
      <c r="P48" s="6"/>
      <c r="Q48" s="6"/>
    </row>
    <row r="49" spans="2:17" x14ac:dyDescent="0.25">
      <c r="B49" s="4"/>
      <c r="C49" s="4"/>
      <c r="D49" s="4"/>
      <c r="E49" s="5"/>
      <c r="F49" s="5"/>
      <c r="G49" s="5"/>
      <c r="H49" s="8">
        <f>H47-99</f>
        <v>-100</v>
      </c>
      <c r="I49" s="5">
        <f>IF(H49&gt;900,900,H49)</f>
        <v>-100</v>
      </c>
      <c r="J49" s="5">
        <f>IF(I49&gt;0,I49*'Knox &amp; Hamilton Rate Table'!E8,0)</f>
        <v>0</v>
      </c>
      <c r="K49" s="6">
        <f>J49*1.2</f>
        <v>0</v>
      </c>
      <c r="L49" s="5"/>
      <c r="M49" s="5"/>
      <c r="N49" s="5"/>
      <c r="O49" s="5"/>
      <c r="P49" s="6"/>
      <c r="Q49" s="6"/>
    </row>
    <row r="50" spans="2:17" x14ac:dyDescent="0.25">
      <c r="B50" s="4"/>
      <c r="C50" s="4"/>
      <c r="D50" s="4"/>
      <c r="E50" s="5" t="s">
        <v>26</v>
      </c>
      <c r="F50" s="5">
        <v>1000</v>
      </c>
      <c r="G50" s="5">
        <v>5000</v>
      </c>
      <c r="H50" s="5" t="s">
        <v>16</v>
      </c>
      <c r="I50" s="5" t="s">
        <v>7</v>
      </c>
      <c r="J50" s="5" t="s">
        <v>21</v>
      </c>
      <c r="K50" s="6"/>
      <c r="L50" s="5"/>
      <c r="M50" s="5"/>
      <c r="N50" s="5"/>
      <c r="O50" s="5"/>
      <c r="P50" s="6"/>
      <c r="Q50" s="6"/>
    </row>
    <row r="51" spans="2:17" x14ac:dyDescent="0.25">
      <c r="B51" s="4"/>
      <c r="C51" s="4"/>
      <c r="D51" s="4"/>
      <c r="E51" s="5"/>
      <c r="F51" s="5"/>
      <c r="G51" s="5"/>
      <c r="H51" s="8">
        <f>H49-900</f>
        <v>-1000</v>
      </c>
      <c r="I51" s="5">
        <f>IF(H51&gt;4000,4000,H51)</f>
        <v>-1000</v>
      </c>
      <c r="J51" s="5">
        <f>IF(I51&gt;0,I51*'Knox &amp; Hamilton Rate Table'!E9,0)</f>
        <v>0</v>
      </c>
      <c r="K51" s="6">
        <f>J51*1.2</f>
        <v>0</v>
      </c>
      <c r="L51" s="5"/>
      <c r="M51" s="5"/>
      <c r="N51" s="5"/>
      <c r="O51" s="5"/>
      <c r="P51" s="6"/>
      <c r="Q51" s="6"/>
    </row>
    <row r="52" spans="2:17" x14ac:dyDescent="0.25">
      <c r="B52" s="4"/>
      <c r="C52" s="4"/>
      <c r="D52" s="4"/>
      <c r="E52" s="5" t="s">
        <v>25</v>
      </c>
      <c r="F52" s="5">
        <v>5000</v>
      </c>
      <c r="G52" s="5">
        <v>10000</v>
      </c>
      <c r="H52" s="5" t="s">
        <v>20</v>
      </c>
      <c r="I52" s="5" t="s">
        <v>7</v>
      </c>
      <c r="J52" s="5" t="s">
        <v>22</v>
      </c>
      <c r="K52" s="6"/>
      <c r="L52" s="5"/>
      <c r="M52" s="5"/>
      <c r="N52" s="5"/>
      <c r="O52" s="5"/>
      <c r="P52" s="6"/>
      <c r="Q52" s="6"/>
    </row>
    <row r="53" spans="2:17" x14ac:dyDescent="0.25">
      <c r="B53" s="4"/>
      <c r="C53" s="4"/>
      <c r="D53" s="4"/>
      <c r="E53" s="5"/>
      <c r="F53" s="5"/>
      <c r="G53" s="5"/>
      <c r="H53" s="8">
        <f>H51-4000</f>
        <v>-5000</v>
      </c>
      <c r="I53" s="5">
        <f>IF(H53&gt;5000,5000,H53)</f>
        <v>-5000</v>
      </c>
      <c r="J53" s="5">
        <f>IF(I53&gt;0,I53*'Knox &amp; Hamilton Rate Table'!E10, 0)</f>
        <v>0</v>
      </c>
      <c r="K53" s="6">
        <f>J53*1.2</f>
        <v>0</v>
      </c>
      <c r="L53" s="5"/>
      <c r="M53" s="5"/>
      <c r="N53" s="5"/>
      <c r="O53" s="5"/>
      <c r="P53" s="6"/>
      <c r="Q53" s="6"/>
    </row>
    <row r="54" spans="2:17" x14ac:dyDescent="0.25">
      <c r="B54" s="4"/>
      <c r="C54" s="4"/>
      <c r="D54" s="4"/>
      <c r="E54" s="5" t="s">
        <v>27</v>
      </c>
      <c r="F54" s="5">
        <v>10000</v>
      </c>
      <c r="G54" s="5">
        <v>15000</v>
      </c>
      <c r="H54" s="5" t="s">
        <v>28</v>
      </c>
      <c r="I54" s="5" t="s">
        <v>7</v>
      </c>
      <c r="J54" s="5" t="s">
        <v>29</v>
      </c>
      <c r="K54" s="6"/>
      <c r="L54" s="5"/>
      <c r="M54" s="5"/>
      <c r="N54" s="5"/>
      <c r="O54" s="5"/>
      <c r="P54" s="6"/>
      <c r="Q54" s="6"/>
    </row>
    <row r="55" spans="2:17" x14ac:dyDescent="0.25">
      <c r="B55" s="4"/>
      <c r="C55" s="4"/>
      <c r="D55" s="4"/>
      <c r="E55" s="5"/>
      <c r="F55" s="5"/>
      <c r="G55" s="5"/>
      <c r="H55" s="8">
        <f>H53-5000</f>
        <v>-10000</v>
      </c>
      <c r="I55" s="5">
        <f>IF(H55&gt;5000,5000,H55)</f>
        <v>-10000</v>
      </c>
      <c r="J55" s="5">
        <f>IF(I55&gt;0,I55*'Knox &amp; Hamilton Rate Table'!E11,0)</f>
        <v>0</v>
      </c>
      <c r="K55" s="6">
        <f>J55*1.2</f>
        <v>0</v>
      </c>
      <c r="L55" s="5"/>
      <c r="M55" s="5"/>
      <c r="N55" s="5"/>
      <c r="O55" s="5"/>
      <c r="P55" s="6"/>
      <c r="Q55" s="6"/>
    </row>
    <row r="56" spans="2:17" x14ac:dyDescent="0.25">
      <c r="B56" s="4"/>
      <c r="C56" s="4"/>
      <c r="D56" s="4"/>
      <c r="E56" s="5" t="s">
        <v>15</v>
      </c>
      <c r="F56" s="5">
        <v>15000</v>
      </c>
      <c r="G56" s="5"/>
      <c r="H56" s="5" t="s">
        <v>30</v>
      </c>
      <c r="I56" s="5" t="s">
        <v>7</v>
      </c>
      <c r="J56" s="5" t="s">
        <v>31</v>
      </c>
      <c r="K56" s="6"/>
      <c r="L56" s="5"/>
      <c r="M56" s="5"/>
      <c r="N56" s="5"/>
      <c r="O56" s="5"/>
      <c r="P56" s="6"/>
      <c r="Q56" s="6"/>
    </row>
    <row r="57" spans="2:17" x14ac:dyDescent="0.25">
      <c r="B57" s="4"/>
      <c r="C57" s="4"/>
      <c r="D57" s="4"/>
      <c r="E57" s="5"/>
      <c r="F57" s="5"/>
      <c r="G57" s="5"/>
      <c r="H57" s="8">
        <f>H55-5000</f>
        <v>-15000</v>
      </c>
      <c r="I57" s="8">
        <f>H57</f>
        <v>-15000</v>
      </c>
      <c r="J57" s="5">
        <f>IF(I57&gt;0,I57*'Knox &amp; Hamilton Rate Table'!E12,0)</f>
        <v>0</v>
      </c>
      <c r="K57" s="6">
        <f>J57*1.2</f>
        <v>0</v>
      </c>
      <c r="L57" s="5"/>
      <c r="M57" s="5"/>
      <c r="N57" s="5"/>
      <c r="O57" s="5"/>
      <c r="P57" s="6"/>
      <c r="Q57" s="6"/>
    </row>
    <row r="58" spans="2:17" x14ac:dyDescent="0.25">
      <c r="B58" s="4"/>
      <c r="C58" s="4"/>
      <c r="D58" s="4"/>
      <c r="E58" s="5"/>
      <c r="F58" s="5"/>
      <c r="G58" s="5"/>
      <c r="H58" s="15" t="s">
        <v>33</v>
      </c>
      <c r="I58" s="15">
        <f>SUM(I45:I57)</f>
        <v>-31100</v>
      </c>
      <c r="J58" s="15">
        <f>IF(D45&gt;=1000,SUM(J45:J57),0)</f>
        <v>0</v>
      </c>
      <c r="K58" s="16">
        <f>IF(D45&gt;=1000,SUM(K45:K57),0)</f>
        <v>0</v>
      </c>
      <c r="L58" s="5"/>
      <c r="M58" s="5"/>
      <c r="N58" s="5"/>
      <c r="O58" s="5"/>
      <c r="P58" s="6"/>
      <c r="Q58" s="6"/>
    </row>
    <row r="59" spans="2:17" x14ac:dyDescent="0.25">
      <c r="B59" s="4"/>
      <c r="C59" s="4"/>
      <c r="D59" s="9"/>
      <c r="E59" s="10"/>
      <c r="F59" s="10"/>
      <c r="G59" s="10"/>
      <c r="H59" s="11" t="s">
        <v>74</v>
      </c>
      <c r="I59" s="10"/>
      <c r="J59" s="11">
        <f>J58*0.3</f>
        <v>0</v>
      </c>
      <c r="K59" s="12">
        <f>0.3*K58</f>
        <v>0</v>
      </c>
      <c r="L59" s="5"/>
      <c r="M59" s="5"/>
      <c r="N59" s="5"/>
      <c r="O59" s="5"/>
      <c r="P59" s="6"/>
      <c r="Q59" s="6"/>
    </row>
    <row r="60" spans="2:17" x14ac:dyDescent="0.25">
      <c r="B60" s="4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20"/>
      <c r="Q60" s="6"/>
    </row>
    <row r="61" spans="2:17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6"/>
    </row>
    <row r="62" spans="2:17" x14ac:dyDescent="0.25">
      <c r="B62" s="4"/>
      <c r="C62" s="1" t="s">
        <v>82</v>
      </c>
      <c r="D62" s="2"/>
      <c r="E62" s="2"/>
      <c r="F62" s="2"/>
      <c r="G62" s="2"/>
      <c r="H62" s="2"/>
      <c r="I62" s="2"/>
      <c r="J62" s="2"/>
      <c r="K62" s="2"/>
      <c r="L62" s="3"/>
      <c r="M62" s="5"/>
      <c r="N62" s="5"/>
      <c r="O62" s="5"/>
      <c r="P62" s="5"/>
      <c r="Q62" s="6"/>
    </row>
    <row r="63" spans="2:17" x14ac:dyDescent="0.25">
      <c r="B63" s="4"/>
      <c r="C63" s="4"/>
      <c r="D63" s="5" t="s">
        <v>83</v>
      </c>
      <c r="E63" s="5"/>
      <c r="F63" s="5"/>
      <c r="G63" s="5"/>
      <c r="H63" s="5"/>
      <c r="I63" s="5"/>
      <c r="J63" s="5"/>
      <c r="K63" s="5"/>
      <c r="L63" s="6"/>
      <c r="M63" s="5"/>
      <c r="N63" s="5"/>
      <c r="O63" s="5"/>
      <c r="P63" s="5"/>
      <c r="Q63" s="6"/>
    </row>
    <row r="64" spans="2:17" x14ac:dyDescent="0.25">
      <c r="B64" s="4"/>
      <c r="C64" s="4"/>
      <c r="D64" s="5"/>
      <c r="E64" s="5"/>
      <c r="F64" s="5" t="s">
        <v>62</v>
      </c>
      <c r="G64" s="5" t="s">
        <v>63</v>
      </c>
      <c r="H64" s="5"/>
      <c r="I64" s="5"/>
      <c r="J64" s="5"/>
      <c r="K64" s="5"/>
      <c r="L64" s="6"/>
      <c r="M64" s="5"/>
      <c r="N64" s="5"/>
      <c r="O64" s="5"/>
      <c r="P64" s="5"/>
      <c r="Q64" s="6"/>
    </row>
    <row r="65" spans="2:17" x14ac:dyDescent="0.25">
      <c r="B65" s="4"/>
      <c r="C65" s="4"/>
      <c r="D65" s="5" t="s">
        <v>0</v>
      </c>
      <c r="E65" s="5"/>
      <c r="F65" s="5">
        <v>0</v>
      </c>
      <c r="G65" s="5">
        <v>1</v>
      </c>
      <c r="H65" s="5" t="s">
        <v>1</v>
      </c>
      <c r="I65" s="5" t="s">
        <v>32</v>
      </c>
      <c r="J65" s="5" t="s">
        <v>3</v>
      </c>
      <c r="K65" s="5"/>
      <c r="L65" s="6"/>
      <c r="M65" s="5"/>
      <c r="N65" s="5"/>
      <c r="O65" s="5"/>
      <c r="P65" s="5"/>
      <c r="Q65" s="6"/>
    </row>
    <row r="66" spans="2:17" x14ac:dyDescent="0.25">
      <c r="B66" s="4"/>
      <c r="C66" s="4"/>
      <c r="D66" s="18">
        <f>'Knox &amp; Hamilton Rates'!T15</f>
        <v>0</v>
      </c>
      <c r="E66" s="5"/>
      <c r="F66" s="5"/>
      <c r="G66" s="5"/>
      <c r="H66" s="8">
        <f>ROUNDUP((D66/1000),0)</f>
        <v>0</v>
      </c>
      <c r="I66" s="8">
        <v>1</v>
      </c>
      <c r="J66" s="5">
        <f>'Knox &amp; Hamilton Rate Table'!E6</f>
        <v>200</v>
      </c>
      <c r="K66" s="5"/>
      <c r="L66" s="6"/>
      <c r="M66" s="5"/>
      <c r="N66" s="5"/>
      <c r="O66" s="5"/>
      <c r="P66" s="5"/>
      <c r="Q66" s="6"/>
    </row>
    <row r="67" spans="2:17" x14ac:dyDescent="0.25">
      <c r="B67" s="4"/>
      <c r="C67" s="4"/>
      <c r="D67" s="5"/>
      <c r="E67" s="5" t="s">
        <v>23</v>
      </c>
      <c r="F67" s="5">
        <v>1</v>
      </c>
      <c r="G67" s="5">
        <v>100</v>
      </c>
      <c r="H67" s="5" t="s">
        <v>2</v>
      </c>
      <c r="I67" s="5" t="s">
        <v>7</v>
      </c>
      <c r="J67" s="5" t="s">
        <v>8</v>
      </c>
      <c r="K67" s="5"/>
      <c r="L67" s="6"/>
      <c r="M67" s="5"/>
      <c r="N67" s="5"/>
      <c r="O67" s="5"/>
      <c r="P67" s="5"/>
      <c r="Q67" s="6"/>
    </row>
    <row r="68" spans="2:17" x14ac:dyDescent="0.25">
      <c r="B68" s="4"/>
      <c r="C68" s="4"/>
      <c r="D68" s="5"/>
      <c r="E68" s="5"/>
      <c r="F68" s="5"/>
      <c r="G68" s="5"/>
      <c r="H68" s="8">
        <f>H66-1</f>
        <v>-1</v>
      </c>
      <c r="I68" s="8">
        <f>IF(H68&gt;99,99,H68)</f>
        <v>-1</v>
      </c>
      <c r="J68" s="5">
        <f>IF(I68&gt;0,I68*'Knox &amp; Hamilton Rate Table'!E7,0)</f>
        <v>0</v>
      </c>
      <c r="K68" s="5"/>
      <c r="L68" s="6"/>
      <c r="M68" s="5"/>
      <c r="N68" s="5"/>
      <c r="O68" s="5"/>
      <c r="P68" s="5"/>
      <c r="Q68" s="6"/>
    </row>
    <row r="69" spans="2:17" x14ac:dyDescent="0.25">
      <c r="B69" s="4"/>
      <c r="C69" s="4"/>
      <c r="D69" s="5"/>
      <c r="E69" s="5" t="s">
        <v>24</v>
      </c>
      <c r="F69" s="5">
        <v>100</v>
      </c>
      <c r="G69" s="5">
        <v>1000</v>
      </c>
      <c r="H69" s="5" t="s">
        <v>9</v>
      </c>
      <c r="I69" s="5" t="s">
        <v>7</v>
      </c>
      <c r="J69" s="5" t="s">
        <v>10</v>
      </c>
      <c r="K69" s="5"/>
      <c r="L69" s="6"/>
      <c r="M69" s="5"/>
      <c r="N69" s="5"/>
      <c r="O69" s="5"/>
      <c r="P69" s="5"/>
      <c r="Q69" s="6"/>
    </row>
    <row r="70" spans="2:17" x14ac:dyDescent="0.25">
      <c r="B70" s="4"/>
      <c r="C70" s="4"/>
      <c r="D70" s="5" t="s">
        <v>53</v>
      </c>
      <c r="E70" s="5"/>
      <c r="F70" s="5"/>
      <c r="G70" s="5"/>
      <c r="H70" s="8">
        <f>H68-99</f>
        <v>-100</v>
      </c>
      <c r="I70" s="5">
        <f>IF(H70&gt;900,900,H70)</f>
        <v>-100</v>
      </c>
      <c r="J70" s="5">
        <f>IF(I70&gt;0,I70*'Knox &amp; Hamilton Rate Table'!E8,0)</f>
        <v>0</v>
      </c>
      <c r="K70" s="5"/>
      <c r="L70" s="6"/>
      <c r="M70" s="5"/>
      <c r="N70" s="5"/>
      <c r="O70" s="5"/>
      <c r="P70" s="5"/>
      <c r="Q70" s="6"/>
    </row>
    <row r="71" spans="2:17" x14ac:dyDescent="0.25">
      <c r="B71" s="4"/>
      <c r="C71" s="4"/>
      <c r="D71" s="5">
        <f>IF(J79&lt;200,200,J79)</f>
        <v>200</v>
      </c>
      <c r="E71" s="5" t="s">
        <v>26</v>
      </c>
      <c r="F71" s="5">
        <v>1000</v>
      </c>
      <c r="G71" s="5">
        <v>5000</v>
      </c>
      <c r="H71" s="5" t="s">
        <v>16</v>
      </c>
      <c r="I71" s="5" t="s">
        <v>7</v>
      </c>
      <c r="J71" s="5" t="s">
        <v>21</v>
      </c>
      <c r="K71" s="5"/>
      <c r="L71" s="6"/>
      <c r="M71" s="5"/>
      <c r="N71" s="5"/>
      <c r="O71" s="5"/>
      <c r="P71" s="5"/>
      <c r="Q71" s="6"/>
    </row>
    <row r="72" spans="2:17" x14ac:dyDescent="0.25">
      <c r="B72" s="4"/>
      <c r="C72" s="4"/>
      <c r="D72" s="5" t="s">
        <v>52</v>
      </c>
      <c r="E72" s="5"/>
      <c r="F72" s="5"/>
      <c r="G72" s="5"/>
      <c r="H72" s="8">
        <f>H70-900</f>
        <v>-1000</v>
      </c>
      <c r="I72" s="5">
        <f>IF(H72&gt;4000,4000,H72)</f>
        <v>-1000</v>
      </c>
      <c r="J72" s="5">
        <f>IF(I72&gt;0,I72*'Knox &amp; Hamilton Rate Table'!E9,0)</f>
        <v>0</v>
      </c>
      <c r="K72" s="5"/>
      <c r="L72" s="6"/>
      <c r="M72" s="5"/>
      <c r="N72" s="5"/>
      <c r="O72" s="5"/>
      <c r="P72" s="5"/>
      <c r="Q72" s="6"/>
    </row>
    <row r="73" spans="2:17" x14ac:dyDescent="0.25">
      <c r="B73" s="4"/>
      <c r="C73" s="4"/>
      <c r="D73" s="5">
        <f>D71*1.2</f>
        <v>240</v>
      </c>
      <c r="E73" s="5" t="s">
        <v>25</v>
      </c>
      <c r="F73" s="5">
        <v>5000</v>
      </c>
      <c r="G73" s="5">
        <v>10000</v>
      </c>
      <c r="H73" s="5" t="s">
        <v>20</v>
      </c>
      <c r="I73" s="5" t="s">
        <v>7</v>
      </c>
      <c r="J73" s="5" t="s">
        <v>22</v>
      </c>
      <c r="K73" s="5"/>
      <c r="L73" s="6"/>
      <c r="M73" s="5"/>
      <c r="N73" s="5"/>
      <c r="O73" s="5"/>
      <c r="P73" s="5"/>
      <c r="Q73" s="6"/>
    </row>
    <row r="74" spans="2:17" x14ac:dyDescent="0.25">
      <c r="B74" s="4"/>
      <c r="C74" s="4"/>
      <c r="D74" s="5"/>
      <c r="E74" s="5"/>
      <c r="F74" s="5"/>
      <c r="G74" s="5"/>
      <c r="H74" s="8">
        <f>H72-4000</f>
        <v>-5000</v>
      </c>
      <c r="I74" s="5">
        <f>IF(H74&gt;5000,5000,H74)</f>
        <v>-5000</v>
      </c>
      <c r="J74" s="5">
        <f>IF(I74&gt;0,I74*'Knox &amp; Hamilton Rate Table'!E10, 0)</f>
        <v>0</v>
      </c>
      <c r="K74" s="5"/>
      <c r="L74" s="6"/>
      <c r="M74" s="5"/>
      <c r="N74" s="5"/>
      <c r="O74" s="5"/>
      <c r="P74" s="5"/>
      <c r="Q74" s="6"/>
    </row>
    <row r="75" spans="2:17" x14ac:dyDescent="0.25">
      <c r="B75" s="4"/>
      <c r="C75" s="4"/>
      <c r="D75" s="5"/>
      <c r="E75" s="5" t="s">
        <v>27</v>
      </c>
      <c r="F75" s="5">
        <v>10000</v>
      </c>
      <c r="G75" s="5">
        <v>15000</v>
      </c>
      <c r="H75" s="5" t="s">
        <v>28</v>
      </c>
      <c r="I75" s="5" t="s">
        <v>7</v>
      </c>
      <c r="J75" s="5" t="s">
        <v>29</v>
      </c>
      <c r="K75" s="5"/>
      <c r="L75" s="6"/>
      <c r="M75" s="5"/>
      <c r="N75" s="5"/>
      <c r="O75" s="5"/>
      <c r="P75" s="5"/>
      <c r="Q75" s="6"/>
    </row>
    <row r="76" spans="2:17" x14ac:dyDescent="0.25">
      <c r="B76" s="4"/>
      <c r="C76" s="4"/>
      <c r="D76" s="5"/>
      <c r="E76" s="5"/>
      <c r="F76" s="5"/>
      <c r="G76" s="5"/>
      <c r="H76" s="8">
        <f>H74-5000</f>
        <v>-10000</v>
      </c>
      <c r="I76" s="5">
        <f>IF(H76&gt;5000,5000,H76)</f>
        <v>-10000</v>
      </c>
      <c r="J76" s="5">
        <f>IF(I76&gt;0,I76*'Knox &amp; Hamilton Rate Table'!E11,0)</f>
        <v>0</v>
      </c>
      <c r="K76" s="5"/>
      <c r="L76" s="6"/>
      <c r="M76" s="5"/>
      <c r="N76" s="5"/>
      <c r="O76" s="5"/>
      <c r="P76" s="5"/>
      <c r="Q76" s="6"/>
    </row>
    <row r="77" spans="2:17" x14ac:dyDescent="0.25">
      <c r="B77" s="4"/>
      <c r="C77" s="4"/>
      <c r="D77" s="5"/>
      <c r="E77" s="5" t="s">
        <v>15</v>
      </c>
      <c r="F77" s="5">
        <v>15000</v>
      </c>
      <c r="G77" s="5"/>
      <c r="H77" s="5" t="s">
        <v>30</v>
      </c>
      <c r="I77" s="5" t="s">
        <v>7</v>
      </c>
      <c r="J77" s="5" t="s">
        <v>31</v>
      </c>
      <c r="K77" s="5"/>
      <c r="L77" s="6"/>
      <c r="M77" s="5"/>
      <c r="N77" s="5"/>
      <c r="O77" s="5"/>
      <c r="P77" s="5"/>
      <c r="Q77" s="6"/>
    </row>
    <row r="78" spans="2:17" x14ac:dyDescent="0.25">
      <c r="B78" s="4"/>
      <c r="C78" s="4"/>
      <c r="D78" s="5"/>
      <c r="E78" s="5"/>
      <c r="F78" s="5"/>
      <c r="G78" s="5"/>
      <c r="H78" s="8">
        <f>H76-5000</f>
        <v>-15000</v>
      </c>
      <c r="I78" s="8">
        <f>H78</f>
        <v>-15000</v>
      </c>
      <c r="J78" s="5">
        <f>IF(I78&gt;0,I78*'Knox &amp; Hamilton Rate Table'!E12,0)</f>
        <v>0</v>
      </c>
      <c r="K78" s="5"/>
      <c r="L78" s="6"/>
      <c r="M78" s="5"/>
      <c r="N78" s="5"/>
      <c r="O78" s="5"/>
      <c r="P78" s="5"/>
      <c r="Q78" s="6"/>
    </row>
    <row r="79" spans="2:17" x14ac:dyDescent="0.25">
      <c r="B79" s="4"/>
      <c r="C79" s="4"/>
      <c r="D79" s="5"/>
      <c r="E79" s="5"/>
      <c r="F79" s="5"/>
      <c r="G79" s="5"/>
      <c r="H79" s="15" t="s">
        <v>33</v>
      </c>
      <c r="I79" s="15">
        <f>SUM(I66:I78)</f>
        <v>-31100</v>
      </c>
      <c r="J79" s="15">
        <f>IF(D66&gt;0,(SUM(J66:J78)*0.7),0)</f>
        <v>0</v>
      </c>
      <c r="K79" s="5"/>
      <c r="L79" s="6"/>
      <c r="M79" s="5"/>
      <c r="N79" s="5"/>
      <c r="O79" s="5"/>
      <c r="P79" s="5"/>
      <c r="Q79" s="6"/>
    </row>
    <row r="80" spans="2:17" x14ac:dyDescent="0.25">
      <c r="B80" s="4"/>
      <c r="C80" s="4"/>
      <c r="D80" s="5"/>
      <c r="E80" s="5"/>
      <c r="F80" s="5"/>
      <c r="G80" s="5"/>
      <c r="H80" s="15"/>
      <c r="I80" s="15"/>
      <c r="J80" s="15"/>
      <c r="K80" s="5"/>
      <c r="L80" s="6"/>
      <c r="M80" s="5"/>
      <c r="N80" s="5"/>
      <c r="O80" s="5"/>
      <c r="P80" s="5"/>
      <c r="Q80" s="6"/>
    </row>
    <row r="81" spans="2:17" x14ac:dyDescent="0.25">
      <c r="B81" s="4"/>
      <c r="C81" s="4"/>
      <c r="D81" s="5"/>
      <c r="E81" s="5"/>
      <c r="F81" s="5"/>
      <c r="G81" s="5"/>
      <c r="H81" s="15"/>
      <c r="I81" s="15"/>
      <c r="J81" s="15"/>
      <c r="K81" s="5"/>
      <c r="L81" s="6"/>
      <c r="M81" s="5"/>
      <c r="N81" s="5"/>
      <c r="O81" s="5"/>
      <c r="P81" s="5"/>
      <c r="Q81" s="6"/>
    </row>
    <row r="82" spans="2:17" x14ac:dyDescent="0.25">
      <c r="B82" s="4"/>
      <c r="C82" s="1" t="s">
        <v>150</v>
      </c>
      <c r="D82" s="2"/>
      <c r="E82" s="2"/>
      <c r="F82" s="2"/>
      <c r="G82" s="2"/>
      <c r="H82" s="2"/>
      <c r="I82" s="2"/>
      <c r="J82" s="2"/>
      <c r="K82" s="3"/>
      <c r="L82" s="3"/>
      <c r="M82" s="5"/>
      <c r="N82" s="5"/>
      <c r="O82" s="5"/>
      <c r="P82" s="5"/>
      <c r="Q82" s="6"/>
    </row>
    <row r="83" spans="2:17" x14ac:dyDescent="0.25">
      <c r="B83" s="4"/>
      <c r="C83" s="4"/>
      <c r="D83" s="5"/>
      <c r="E83" s="5"/>
      <c r="F83" s="5"/>
      <c r="G83" s="5"/>
      <c r="H83" s="5"/>
      <c r="I83" s="5"/>
      <c r="J83" s="5"/>
      <c r="K83" s="6"/>
      <c r="L83" s="6"/>
      <c r="M83" s="5"/>
      <c r="N83" s="5"/>
      <c r="O83" s="5"/>
      <c r="P83" s="5"/>
      <c r="Q83" s="6"/>
    </row>
    <row r="84" spans="2:17" x14ac:dyDescent="0.25">
      <c r="B84" s="4"/>
      <c r="C84" s="4"/>
      <c r="D84" s="5"/>
      <c r="E84" s="5"/>
      <c r="F84" s="5" t="s">
        <v>62</v>
      </c>
      <c r="G84" s="5" t="s">
        <v>63</v>
      </c>
      <c r="H84" s="5"/>
      <c r="I84" s="5"/>
      <c r="J84" s="5"/>
      <c r="K84" s="6"/>
      <c r="L84" s="6"/>
      <c r="M84" s="5"/>
      <c r="N84" s="5"/>
      <c r="O84" s="5"/>
      <c r="P84" s="5"/>
      <c r="Q84" s="6"/>
    </row>
    <row r="85" spans="2:17" x14ac:dyDescent="0.25">
      <c r="B85" s="4"/>
      <c r="C85" s="4"/>
      <c r="D85" s="5" t="s">
        <v>0</v>
      </c>
      <c r="E85" s="5"/>
      <c r="F85" s="5">
        <v>0</v>
      </c>
      <c r="G85" s="5">
        <v>1</v>
      </c>
      <c r="H85" s="5" t="s">
        <v>1</v>
      </c>
      <c r="I85" s="5" t="s">
        <v>32</v>
      </c>
      <c r="J85" s="5" t="s">
        <v>3</v>
      </c>
      <c r="K85" s="6"/>
      <c r="L85" s="6"/>
      <c r="M85" s="5"/>
      <c r="N85" s="5"/>
      <c r="O85" s="5"/>
      <c r="P85" s="5"/>
      <c r="Q85" s="6"/>
    </row>
    <row r="86" spans="2:17" x14ac:dyDescent="0.25">
      <c r="B86" s="4"/>
      <c r="C86" s="4"/>
      <c r="D86" s="18">
        <f>'Knox &amp; Hamilton Rates'!T13</f>
        <v>0</v>
      </c>
      <c r="E86" s="5"/>
      <c r="F86" s="5"/>
      <c r="G86" s="5"/>
      <c r="H86" s="8">
        <f>ROUNDUP((D86/1000),0)</f>
        <v>0</v>
      </c>
      <c r="I86" s="8">
        <v>1</v>
      </c>
      <c r="J86" s="5">
        <f>'Knox &amp; Hamilton Rate Table'!E6</f>
        <v>200</v>
      </c>
      <c r="K86" s="6"/>
      <c r="L86" s="6"/>
      <c r="M86" s="5"/>
      <c r="N86" s="5"/>
      <c r="O86" s="5"/>
      <c r="P86" s="5"/>
      <c r="Q86" s="6"/>
    </row>
    <row r="87" spans="2:17" x14ac:dyDescent="0.25">
      <c r="B87" s="4"/>
      <c r="C87" s="4"/>
      <c r="D87" s="5"/>
      <c r="E87" s="5" t="s">
        <v>23</v>
      </c>
      <c r="F87" s="5">
        <v>1</v>
      </c>
      <c r="G87" s="5">
        <v>100</v>
      </c>
      <c r="H87" s="5" t="s">
        <v>2</v>
      </c>
      <c r="I87" s="5" t="s">
        <v>7</v>
      </c>
      <c r="J87" s="5" t="s">
        <v>8</v>
      </c>
      <c r="K87" s="6"/>
      <c r="L87" s="6"/>
      <c r="M87" s="5"/>
      <c r="N87" s="5"/>
      <c r="O87" s="5"/>
      <c r="P87" s="5"/>
      <c r="Q87" s="6"/>
    </row>
    <row r="88" spans="2:17" x14ac:dyDescent="0.25">
      <c r="B88" s="4"/>
      <c r="C88" s="4"/>
      <c r="D88" s="5"/>
      <c r="E88" s="5"/>
      <c r="F88" s="5"/>
      <c r="G88" s="5"/>
      <c r="H88" s="8">
        <f>H86-1</f>
        <v>-1</v>
      </c>
      <c r="I88" s="8">
        <f>IF(H88&gt;99,99,H88)</f>
        <v>-1</v>
      </c>
      <c r="J88" s="5">
        <f>IF(I88&gt;0,I88*'Knox &amp; Hamilton Rate Table'!E7,0)</f>
        <v>0</v>
      </c>
      <c r="K88" s="6"/>
      <c r="L88" s="6"/>
      <c r="M88" s="5"/>
      <c r="N88" s="5"/>
      <c r="O88" s="5"/>
      <c r="P88" s="5"/>
      <c r="Q88" s="6"/>
    </row>
    <row r="89" spans="2:17" x14ac:dyDescent="0.25">
      <c r="B89" s="4"/>
      <c r="C89" s="4"/>
      <c r="D89" s="5"/>
      <c r="E89" s="5" t="s">
        <v>24</v>
      </c>
      <c r="F89" s="5">
        <v>100</v>
      </c>
      <c r="G89" s="5">
        <v>1000</v>
      </c>
      <c r="H89" s="5" t="s">
        <v>9</v>
      </c>
      <c r="I89" s="5" t="s">
        <v>7</v>
      </c>
      <c r="J89" s="5" t="s">
        <v>10</v>
      </c>
      <c r="K89" s="6"/>
      <c r="L89" s="6"/>
      <c r="M89" s="5"/>
      <c r="N89" s="5"/>
      <c r="O89" s="5"/>
      <c r="P89" s="5"/>
      <c r="Q89" s="6"/>
    </row>
    <row r="90" spans="2:17" x14ac:dyDescent="0.25">
      <c r="B90" s="4"/>
      <c r="C90" s="4"/>
      <c r="D90" s="5" t="s">
        <v>53</v>
      </c>
      <c r="E90" s="5"/>
      <c r="F90" s="5"/>
      <c r="G90" s="5"/>
      <c r="H90" s="8">
        <f>H88-99</f>
        <v>-100</v>
      </c>
      <c r="I90" s="5">
        <f>IF(H90&gt;900,900,H90)</f>
        <v>-100</v>
      </c>
      <c r="J90" s="5">
        <f>IF(I90&gt;0,I90*'Knox &amp; Hamilton Rate Table'!E8,0)</f>
        <v>0</v>
      </c>
      <c r="K90" s="6"/>
      <c r="L90" s="6"/>
      <c r="M90" s="5"/>
      <c r="N90" s="5"/>
      <c r="O90" s="5"/>
      <c r="P90" s="5"/>
      <c r="Q90" s="6"/>
    </row>
    <row r="91" spans="2:17" x14ac:dyDescent="0.25">
      <c r="B91" s="4"/>
      <c r="C91" s="4"/>
      <c r="D91" s="5">
        <f>IF(J99&lt;200,200,J99)</f>
        <v>200</v>
      </c>
      <c r="E91" s="5" t="s">
        <v>26</v>
      </c>
      <c r="F91" s="5">
        <v>1000</v>
      </c>
      <c r="G91" s="5">
        <v>5000</v>
      </c>
      <c r="H91" s="5" t="s">
        <v>16</v>
      </c>
      <c r="I91" s="5" t="s">
        <v>7</v>
      </c>
      <c r="J91" s="5" t="s">
        <v>21</v>
      </c>
      <c r="K91" s="6"/>
      <c r="L91" s="6"/>
      <c r="M91" s="5"/>
      <c r="N91" s="5"/>
      <c r="O91" s="5"/>
      <c r="P91" s="5"/>
      <c r="Q91" s="6"/>
    </row>
    <row r="92" spans="2:17" x14ac:dyDescent="0.25">
      <c r="B92" s="4"/>
      <c r="C92" s="4"/>
      <c r="D92" s="5" t="s">
        <v>52</v>
      </c>
      <c r="E92" s="5"/>
      <c r="F92" s="5"/>
      <c r="G92" s="5"/>
      <c r="H92" s="8">
        <f>H90-900</f>
        <v>-1000</v>
      </c>
      <c r="I92" s="5">
        <f>IF(H92&gt;4000,4000,H92)</f>
        <v>-1000</v>
      </c>
      <c r="J92" s="5">
        <f>IF(I92&gt;0,I92*'Knox &amp; Hamilton Rate Table'!E9,0)</f>
        <v>0</v>
      </c>
      <c r="K92" s="6"/>
      <c r="L92" s="6"/>
      <c r="M92" s="5"/>
      <c r="N92" s="5"/>
      <c r="O92" s="5"/>
      <c r="P92" s="5"/>
      <c r="Q92" s="6"/>
    </row>
    <row r="93" spans="2:17" x14ac:dyDescent="0.25">
      <c r="B93" s="4"/>
      <c r="C93" s="4"/>
      <c r="D93" s="5">
        <f>D91*1.2</f>
        <v>240</v>
      </c>
      <c r="E93" s="5" t="s">
        <v>25</v>
      </c>
      <c r="F93" s="5">
        <v>5000</v>
      </c>
      <c r="G93" s="5">
        <v>10000</v>
      </c>
      <c r="H93" s="5" t="s">
        <v>20</v>
      </c>
      <c r="I93" s="5" t="s">
        <v>7</v>
      </c>
      <c r="J93" s="5" t="s">
        <v>22</v>
      </c>
      <c r="K93" s="6"/>
      <c r="L93" s="6"/>
      <c r="M93" s="5"/>
      <c r="N93" s="5"/>
      <c r="O93" s="5"/>
      <c r="P93" s="5"/>
      <c r="Q93" s="6"/>
    </row>
    <row r="94" spans="2:17" x14ac:dyDescent="0.25">
      <c r="B94" s="4"/>
      <c r="C94" s="4"/>
      <c r="D94" s="5"/>
      <c r="E94" s="5"/>
      <c r="F94" s="5"/>
      <c r="G94" s="5"/>
      <c r="H94" s="8">
        <f>H92-4000</f>
        <v>-5000</v>
      </c>
      <c r="I94" s="5">
        <f>IF(H94&gt;5000,5000,H94)</f>
        <v>-5000</v>
      </c>
      <c r="J94" s="5">
        <f>IF(I94&gt;0,I94*'Knox &amp; Hamilton Rate Table'!E10, 0)</f>
        <v>0</v>
      </c>
      <c r="K94" s="6"/>
      <c r="L94" s="6"/>
      <c r="M94" s="5"/>
      <c r="N94" s="5"/>
      <c r="O94" s="5"/>
      <c r="P94" s="5"/>
      <c r="Q94" s="6"/>
    </row>
    <row r="95" spans="2:17" x14ac:dyDescent="0.25">
      <c r="B95" s="4"/>
      <c r="C95" s="4"/>
      <c r="D95" s="5"/>
      <c r="E95" s="5" t="s">
        <v>27</v>
      </c>
      <c r="F95" s="5">
        <v>10000</v>
      </c>
      <c r="G95" s="5">
        <v>15000</v>
      </c>
      <c r="H95" s="5" t="s">
        <v>28</v>
      </c>
      <c r="I95" s="5" t="s">
        <v>7</v>
      </c>
      <c r="J95" s="5" t="s">
        <v>29</v>
      </c>
      <c r="K95" s="6"/>
      <c r="L95" s="6"/>
      <c r="M95" s="5"/>
      <c r="N95" s="5"/>
      <c r="O95" s="5"/>
      <c r="P95" s="5"/>
      <c r="Q95" s="6"/>
    </row>
    <row r="96" spans="2:17" x14ac:dyDescent="0.25">
      <c r="B96" s="4"/>
      <c r="C96" s="4"/>
      <c r="D96" s="5"/>
      <c r="E96" s="5"/>
      <c r="F96" s="5"/>
      <c r="G96" s="5"/>
      <c r="H96" s="8">
        <f>H94-5000</f>
        <v>-10000</v>
      </c>
      <c r="I96" s="5">
        <f>IF(H96&gt;5000,5000,H96)</f>
        <v>-10000</v>
      </c>
      <c r="J96" s="5">
        <f>IF(I96&gt;0,I96*'Knox &amp; Hamilton Rate Table'!E11,0)</f>
        <v>0</v>
      </c>
      <c r="K96" s="6"/>
      <c r="L96" s="6"/>
      <c r="M96" s="5"/>
      <c r="N96" s="5"/>
      <c r="O96" s="5"/>
      <c r="P96" s="5"/>
      <c r="Q96" s="6"/>
    </row>
    <row r="97" spans="2:17" x14ac:dyDescent="0.25">
      <c r="B97" s="4"/>
      <c r="C97" s="4"/>
      <c r="D97" s="5"/>
      <c r="E97" s="5" t="s">
        <v>15</v>
      </c>
      <c r="F97" s="5">
        <v>15000</v>
      </c>
      <c r="G97" s="5"/>
      <c r="H97" s="5" t="s">
        <v>30</v>
      </c>
      <c r="I97" s="5" t="s">
        <v>7</v>
      </c>
      <c r="J97" s="5" t="s">
        <v>31</v>
      </c>
      <c r="K97" s="6"/>
      <c r="L97" s="6"/>
      <c r="M97" s="5"/>
      <c r="N97" s="5"/>
      <c r="O97" s="5"/>
      <c r="P97" s="5"/>
      <c r="Q97" s="6"/>
    </row>
    <row r="98" spans="2:17" x14ac:dyDescent="0.25">
      <c r="B98" s="4"/>
      <c r="C98" s="4"/>
      <c r="D98" s="5"/>
      <c r="E98" s="5"/>
      <c r="F98" s="5"/>
      <c r="G98" s="5"/>
      <c r="H98" s="8">
        <f>H96-5000</f>
        <v>-15000</v>
      </c>
      <c r="I98" s="8">
        <f>H98</f>
        <v>-15000</v>
      </c>
      <c r="J98" s="5">
        <f>IF(I98&gt;0,I98*'Knox &amp; Hamilton Rate Table'!E12,0)</f>
        <v>0</v>
      </c>
      <c r="K98" s="6"/>
      <c r="L98" s="6"/>
      <c r="M98" s="5"/>
      <c r="N98" s="5"/>
      <c r="O98" s="5"/>
      <c r="P98" s="5"/>
      <c r="Q98" s="6"/>
    </row>
    <row r="99" spans="2:17" x14ac:dyDescent="0.25">
      <c r="B99" s="4"/>
      <c r="C99" s="9"/>
      <c r="D99" s="10"/>
      <c r="E99" s="10"/>
      <c r="F99" s="10"/>
      <c r="G99" s="10"/>
      <c r="H99" s="11" t="s">
        <v>33</v>
      </c>
      <c r="I99" s="11">
        <f>SUM(I86:I98)</f>
        <v>-31100</v>
      </c>
      <c r="J99" s="11">
        <f>IF(D86&gt;0,(SUM(J86:J98)),0)</f>
        <v>0</v>
      </c>
      <c r="K99" s="20"/>
      <c r="L99" s="6"/>
      <c r="M99" s="5"/>
      <c r="N99" s="5"/>
      <c r="O99" s="5"/>
      <c r="P99" s="5"/>
      <c r="Q99" s="6"/>
    </row>
    <row r="100" spans="2:17" x14ac:dyDescent="0.25">
      <c r="B100" s="4"/>
      <c r="C100" s="1" t="s">
        <v>168</v>
      </c>
      <c r="D100" s="2"/>
      <c r="E100" s="2"/>
      <c r="F100" s="2"/>
      <c r="G100" s="2"/>
      <c r="H100" s="2"/>
      <c r="I100" s="2"/>
      <c r="J100" s="2"/>
      <c r="K100" s="3"/>
      <c r="L100" s="6"/>
      <c r="M100" s="5"/>
      <c r="N100" s="5"/>
      <c r="O100" s="5"/>
      <c r="P100" s="5"/>
      <c r="Q100" s="6"/>
    </row>
    <row r="101" spans="2:17" x14ac:dyDescent="0.25">
      <c r="B101" s="4"/>
      <c r="C101" s="4"/>
      <c r="D101" s="5"/>
      <c r="E101" s="5"/>
      <c r="F101" s="5"/>
      <c r="G101" s="5"/>
      <c r="H101" s="5"/>
      <c r="I101" s="5"/>
      <c r="J101" s="5"/>
      <c r="K101" s="6"/>
      <c r="L101" s="6"/>
      <c r="M101" s="5"/>
      <c r="N101" s="5"/>
      <c r="O101" s="5"/>
      <c r="P101" s="5"/>
      <c r="Q101" s="6"/>
    </row>
    <row r="102" spans="2:17" x14ac:dyDescent="0.25">
      <c r="B102" s="4"/>
      <c r="C102" s="4"/>
      <c r="D102" s="5"/>
      <c r="E102" s="5"/>
      <c r="F102" s="5" t="s">
        <v>62</v>
      </c>
      <c r="G102" s="5" t="s">
        <v>63</v>
      </c>
      <c r="H102" s="5"/>
      <c r="I102" s="5"/>
      <c r="J102" s="5"/>
      <c r="K102" s="6"/>
      <c r="L102" s="6"/>
      <c r="M102" s="5"/>
      <c r="N102" s="5"/>
      <c r="O102" s="5"/>
      <c r="P102" s="5"/>
      <c r="Q102" s="6"/>
    </row>
    <row r="103" spans="2:17" x14ac:dyDescent="0.25">
      <c r="B103" s="4"/>
      <c r="C103" s="4"/>
      <c r="D103" s="5" t="s">
        <v>0</v>
      </c>
      <c r="E103" s="5"/>
      <c r="F103" s="5">
        <v>0</v>
      </c>
      <c r="G103" s="5">
        <v>1</v>
      </c>
      <c r="H103" s="5" t="s">
        <v>1</v>
      </c>
      <c r="I103" s="5" t="s">
        <v>32</v>
      </c>
      <c r="J103" s="5" t="s">
        <v>3</v>
      </c>
      <c r="K103" s="6"/>
      <c r="L103" s="6"/>
      <c r="M103" s="5"/>
      <c r="N103" s="5"/>
      <c r="O103" s="5"/>
      <c r="P103" s="5"/>
      <c r="Q103" s="6"/>
    </row>
    <row r="104" spans="2:17" x14ac:dyDescent="0.25">
      <c r="B104" s="4"/>
      <c r="C104" s="4"/>
      <c r="D104" s="18">
        <f>'Knox &amp; Hamilton Rates'!I17</f>
        <v>0</v>
      </c>
      <c r="E104" s="5"/>
      <c r="F104" s="5"/>
      <c r="G104" s="5"/>
      <c r="H104" s="8">
        <f>ROUNDUP((D104/1000),0)</f>
        <v>0</v>
      </c>
      <c r="I104" s="8">
        <v>1</v>
      </c>
      <c r="J104" s="5">
        <f>'Knox &amp; Hamilton Rate Table'!E6</f>
        <v>200</v>
      </c>
      <c r="K104" s="6"/>
      <c r="L104" s="6"/>
      <c r="M104" s="5"/>
      <c r="N104" s="5"/>
      <c r="O104" s="5"/>
      <c r="P104" s="5"/>
      <c r="Q104" s="6"/>
    </row>
    <row r="105" spans="2:17" x14ac:dyDescent="0.25">
      <c r="B105" s="4"/>
      <c r="C105" s="4"/>
      <c r="D105" s="5"/>
      <c r="E105" s="5" t="s">
        <v>23</v>
      </c>
      <c r="F105" s="5">
        <v>1</v>
      </c>
      <c r="G105" s="5">
        <v>100</v>
      </c>
      <c r="H105" s="5" t="s">
        <v>2</v>
      </c>
      <c r="I105" s="5" t="s">
        <v>7</v>
      </c>
      <c r="J105" s="5" t="s">
        <v>8</v>
      </c>
      <c r="K105" s="6"/>
      <c r="L105" s="6"/>
      <c r="M105" s="5"/>
      <c r="N105" s="5"/>
      <c r="O105" s="5"/>
      <c r="P105" s="5"/>
      <c r="Q105" s="6"/>
    </row>
    <row r="106" spans="2:17" x14ac:dyDescent="0.25">
      <c r="B106" s="4"/>
      <c r="C106" s="4"/>
      <c r="D106" s="5"/>
      <c r="E106" s="5"/>
      <c r="F106" s="5"/>
      <c r="G106" s="5"/>
      <c r="H106" s="8">
        <f>H104-1</f>
        <v>-1</v>
      </c>
      <c r="I106" s="8">
        <f>IF(H106&gt;99,99,H106)</f>
        <v>-1</v>
      </c>
      <c r="J106" s="5">
        <f>IF(I106&gt;0,I106*'Knox &amp; Hamilton Rate Table'!E7,0)</f>
        <v>0</v>
      </c>
      <c r="K106" s="6"/>
      <c r="L106" s="6"/>
      <c r="M106" s="5"/>
      <c r="N106" s="5"/>
      <c r="O106" s="5"/>
      <c r="P106" s="5"/>
      <c r="Q106" s="6"/>
    </row>
    <row r="107" spans="2:17" x14ac:dyDescent="0.25">
      <c r="B107" s="4"/>
      <c r="C107" s="4"/>
      <c r="D107" s="5"/>
      <c r="E107" s="5" t="s">
        <v>24</v>
      </c>
      <c r="F107" s="5">
        <v>100</v>
      </c>
      <c r="G107" s="5">
        <v>1000</v>
      </c>
      <c r="H107" s="5" t="s">
        <v>9</v>
      </c>
      <c r="I107" s="5" t="s">
        <v>7</v>
      </c>
      <c r="J107" s="5" t="s">
        <v>10</v>
      </c>
      <c r="K107" s="6"/>
      <c r="L107" s="6"/>
      <c r="M107" s="5"/>
      <c r="N107" s="5"/>
      <c r="O107" s="5"/>
      <c r="P107" s="5"/>
      <c r="Q107" s="6"/>
    </row>
    <row r="108" spans="2:17" x14ac:dyDescent="0.25">
      <c r="B108" s="4"/>
      <c r="C108" s="4"/>
      <c r="D108" s="5" t="s">
        <v>53</v>
      </c>
      <c r="E108" s="5"/>
      <c r="F108" s="5"/>
      <c r="G108" s="5"/>
      <c r="H108" s="8">
        <f>H106-99</f>
        <v>-100</v>
      </c>
      <c r="I108" s="5">
        <f>IF(H108&gt;900,900,H108)</f>
        <v>-100</v>
      </c>
      <c r="J108" s="5">
        <f>IF(I108&gt;0,I108*'Knox &amp; Hamilton Rate Table'!E8,0)</f>
        <v>0</v>
      </c>
      <c r="K108" s="6"/>
      <c r="L108" s="6"/>
      <c r="M108" s="5"/>
      <c r="N108" s="5"/>
      <c r="O108" s="5"/>
      <c r="P108" s="5"/>
      <c r="Q108" s="6"/>
    </row>
    <row r="109" spans="2:17" x14ac:dyDescent="0.25">
      <c r="B109" s="4"/>
      <c r="C109" s="4"/>
      <c r="D109" s="5">
        <f>IF(J117&lt;200,200,J117)</f>
        <v>200</v>
      </c>
      <c r="E109" s="5" t="s">
        <v>26</v>
      </c>
      <c r="F109" s="5">
        <v>1000</v>
      </c>
      <c r="G109" s="5">
        <v>5000</v>
      </c>
      <c r="H109" s="5" t="s">
        <v>16</v>
      </c>
      <c r="I109" s="5" t="s">
        <v>7</v>
      </c>
      <c r="J109" s="5" t="s">
        <v>21</v>
      </c>
      <c r="K109" s="6"/>
      <c r="L109" s="6"/>
      <c r="M109" s="5"/>
      <c r="N109" s="5"/>
      <c r="O109" s="5"/>
      <c r="P109" s="5"/>
      <c r="Q109" s="6"/>
    </row>
    <row r="110" spans="2:17" x14ac:dyDescent="0.25">
      <c r="B110" s="4"/>
      <c r="C110" s="4"/>
      <c r="D110" s="5" t="s">
        <v>52</v>
      </c>
      <c r="E110" s="5"/>
      <c r="F110" s="5"/>
      <c r="G110" s="5"/>
      <c r="H110" s="8">
        <f>H108-900</f>
        <v>-1000</v>
      </c>
      <c r="I110" s="5">
        <f>IF(H110&gt;4000,4000,H110)</f>
        <v>-1000</v>
      </c>
      <c r="J110" s="5">
        <f>IF(I110&gt;0,I110*'Knox &amp; Hamilton Rate Table'!E9,0)</f>
        <v>0</v>
      </c>
      <c r="K110" s="6"/>
      <c r="L110" s="6"/>
      <c r="M110" s="5"/>
      <c r="N110" s="5"/>
      <c r="O110" s="5"/>
      <c r="P110" s="5"/>
      <c r="Q110" s="6"/>
    </row>
    <row r="111" spans="2:17" x14ac:dyDescent="0.25">
      <c r="B111" s="4"/>
      <c r="C111" s="4"/>
      <c r="D111" s="5">
        <f>D109*1.2</f>
        <v>240</v>
      </c>
      <c r="E111" s="5" t="s">
        <v>25</v>
      </c>
      <c r="F111" s="5">
        <v>5000</v>
      </c>
      <c r="G111" s="5">
        <v>10000</v>
      </c>
      <c r="H111" s="5" t="s">
        <v>20</v>
      </c>
      <c r="I111" s="5" t="s">
        <v>7</v>
      </c>
      <c r="J111" s="5" t="s">
        <v>22</v>
      </c>
      <c r="K111" s="6"/>
      <c r="L111" s="6"/>
      <c r="M111" s="5"/>
      <c r="N111" s="5"/>
      <c r="O111" s="5"/>
      <c r="P111" s="5"/>
      <c r="Q111" s="6"/>
    </row>
    <row r="112" spans="2:17" x14ac:dyDescent="0.25">
      <c r="B112" s="4"/>
      <c r="C112" s="4"/>
      <c r="D112" s="5"/>
      <c r="E112" s="5"/>
      <c r="F112" s="5"/>
      <c r="G112" s="5"/>
      <c r="H112" s="8">
        <f>H110-4000</f>
        <v>-5000</v>
      </c>
      <c r="I112" s="5">
        <f>IF(H112&gt;5000,5000,H112)</f>
        <v>-5000</v>
      </c>
      <c r="J112" s="5">
        <f>IF(I112&gt;0,I112*'Knox &amp; Hamilton Rate Table'!E10, 0)</f>
        <v>0</v>
      </c>
      <c r="K112" s="6"/>
      <c r="L112" s="6"/>
      <c r="M112" s="5"/>
      <c r="N112" s="5"/>
      <c r="O112" s="5"/>
      <c r="P112" s="5"/>
      <c r="Q112" s="6"/>
    </row>
    <row r="113" spans="2:17" x14ac:dyDescent="0.25">
      <c r="B113" s="4"/>
      <c r="C113" s="4"/>
      <c r="D113" s="5"/>
      <c r="E113" s="5" t="s">
        <v>27</v>
      </c>
      <c r="F113" s="5">
        <v>10000</v>
      </c>
      <c r="G113" s="5">
        <v>15000</v>
      </c>
      <c r="H113" s="5" t="s">
        <v>28</v>
      </c>
      <c r="I113" s="5" t="s">
        <v>7</v>
      </c>
      <c r="J113" s="5" t="s">
        <v>29</v>
      </c>
      <c r="K113" s="6"/>
      <c r="L113" s="6"/>
      <c r="M113" s="5"/>
      <c r="N113" s="5"/>
      <c r="O113" s="5"/>
      <c r="P113" s="5"/>
      <c r="Q113" s="6"/>
    </row>
    <row r="114" spans="2:17" x14ac:dyDescent="0.25">
      <c r="B114" s="4"/>
      <c r="C114" s="4"/>
      <c r="D114" s="5"/>
      <c r="E114" s="5"/>
      <c r="F114" s="5"/>
      <c r="G114" s="5"/>
      <c r="H114" s="8">
        <f>H112-5000</f>
        <v>-10000</v>
      </c>
      <c r="I114" s="5">
        <f>IF(H114&gt;5000,5000,H114)</f>
        <v>-10000</v>
      </c>
      <c r="J114" s="5">
        <f>IF(I114&gt;0,I114*'Knox &amp; Hamilton Rate Table'!E11,0)</f>
        <v>0</v>
      </c>
      <c r="K114" s="6"/>
      <c r="L114" s="6"/>
      <c r="M114" s="5"/>
      <c r="N114" s="5"/>
      <c r="O114" s="5"/>
      <c r="P114" s="5"/>
      <c r="Q114" s="6"/>
    </row>
    <row r="115" spans="2:17" x14ac:dyDescent="0.25">
      <c r="B115" s="4"/>
      <c r="C115" s="4"/>
      <c r="D115" s="5"/>
      <c r="E115" s="5" t="s">
        <v>15</v>
      </c>
      <c r="F115" s="5">
        <v>15000</v>
      </c>
      <c r="G115" s="5"/>
      <c r="H115" s="5" t="s">
        <v>30</v>
      </c>
      <c r="I115" s="5" t="s">
        <v>7</v>
      </c>
      <c r="J115" s="5" t="s">
        <v>31</v>
      </c>
      <c r="K115" s="6"/>
      <c r="L115" s="6"/>
      <c r="M115" s="5"/>
      <c r="N115" s="5"/>
      <c r="O115" s="5"/>
      <c r="P115" s="5"/>
      <c r="Q115" s="6"/>
    </row>
    <row r="116" spans="2:17" x14ac:dyDescent="0.25">
      <c r="B116" s="4"/>
      <c r="C116" s="4"/>
      <c r="D116" s="5"/>
      <c r="E116" s="5"/>
      <c r="F116" s="5"/>
      <c r="G116" s="5"/>
      <c r="H116" s="8">
        <f>H114-5000</f>
        <v>-15000</v>
      </c>
      <c r="I116" s="8">
        <f>H116</f>
        <v>-15000</v>
      </c>
      <c r="J116" s="5">
        <f>IF(I116&gt;0,I116*'Knox &amp; Hamilton Rate Table'!E12,0)</f>
        <v>0</v>
      </c>
      <c r="K116" s="6"/>
      <c r="L116" s="6"/>
      <c r="M116" s="5"/>
      <c r="N116" s="5"/>
      <c r="O116" s="5"/>
      <c r="P116" s="5"/>
      <c r="Q116" s="6"/>
    </row>
    <row r="117" spans="2:17" x14ac:dyDescent="0.25">
      <c r="B117" s="4"/>
      <c r="C117" s="9"/>
      <c r="D117" s="10"/>
      <c r="E117" s="10"/>
      <c r="F117" s="10"/>
      <c r="G117" s="10"/>
      <c r="H117" s="11" t="s">
        <v>33</v>
      </c>
      <c r="I117" s="11">
        <f>SUM(I104:I116)</f>
        <v>-31100</v>
      </c>
      <c r="J117" s="11">
        <f>IF(D104&gt;0,(SUM(J104:J116)),0)</f>
        <v>0</v>
      </c>
      <c r="K117" s="20"/>
      <c r="L117" s="6"/>
      <c r="M117" s="5"/>
      <c r="N117" s="5"/>
      <c r="O117" s="5"/>
      <c r="P117" s="5"/>
      <c r="Q117" s="6"/>
    </row>
    <row r="118" spans="2:17" x14ac:dyDescent="0.25">
      <c r="B118" s="4"/>
      <c r="C118" s="4"/>
      <c r="D118" s="5"/>
      <c r="E118" s="5"/>
      <c r="F118" s="5"/>
      <c r="G118" s="5"/>
      <c r="H118" s="15"/>
      <c r="I118" s="15"/>
      <c r="J118" s="15"/>
      <c r="K118" s="5"/>
      <c r="L118" s="6"/>
      <c r="M118" s="5"/>
      <c r="N118" s="5"/>
      <c r="O118" s="5"/>
      <c r="P118" s="5"/>
      <c r="Q118" s="6"/>
    </row>
    <row r="119" spans="2:17" x14ac:dyDescent="0.25">
      <c r="B119" s="4"/>
      <c r="C119" s="4"/>
      <c r="D119" s="5"/>
      <c r="E119" s="5"/>
      <c r="F119" s="5"/>
      <c r="G119" s="5"/>
      <c r="H119" s="15"/>
      <c r="I119" s="15"/>
      <c r="J119" s="15"/>
      <c r="K119" s="5"/>
      <c r="L119" s="6"/>
      <c r="M119" s="5"/>
      <c r="N119" s="5"/>
      <c r="O119" s="5"/>
      <c r="P119" s="5"/>
      <c r="Q119" s="6"/>
    </row>
    <row r="120" spans="2:17" x14ac:dyDescent="0.25">
      <c r="B120" s="4"/>
      <c r="C120" s="4"/>
      <c r="D120" s="5"/>
      <c r="E120" s="5"/>
      <c r="F120" s="5"/>
      <c r="G120" s="5"/>
      <c r="H120" s="15"/>
      <c r="I120" s="15"/>
      <c r="J120" s="15"/>
      <c r="K120" s="5"/>
      <c r="L120" s="6"/>
      <c r="M120" s="5"/>
      <c r="N120" s="5"/>
      <c r="O120" s="5"/>
      <c r="P120" s="5"/>
      <c r="Q120" s="6"/>
    </row>
    <row r="121" spans="2:17" x14ac:dyDescent="0.25">
      <c r="B121" s="9"/>
      <c r="C121" s="4"/>
      <c r="D121" s="13" t="s">
        <v>75</v>
      </c>
      <c r="E121" s="2"/>
      <c r="F121" s="2"/>
      <c r="G121" s="2"/>
      <c r="H121" s="2"/>
      <c r="I121" s="2"/>
      <c r="J121" s="2"/>
      <c r="K121" s="3"/>
      <c r="L121" s="6"/>
      <c r="M121" s="10"/>
      <c r="N121" s="10"/>
      <c r="O121" s="10"/>
      <c r="P121" s="10"/>
      <c r="Q121" s="20"/>
    </row>
    <row r="122" spans="2:17" x14ac:dyDescent="0.25">
      <c r="C122" s="4"/>
      <c r="D122" s="4"/>
      <c r="E122" s="5"/>
      <c r="F122" s="5" t="s">
        <v>62</v>
      </c>
      <c r="G122" s="5" t="s">
        <v>63</v>
      </c>
      <c r="H122" s="5"/>
      <c r="I122" s="5"/>
      <c r="J122" s="5"/>
      <c r="K122" s="6"/>
      <c r="L122" s="6"/>
    </row>
    <row r="123" spans="2:17" x14ac:dyDescent="0.25">
      <c r="C123" s="4"/>
      <c r="D123" s="4" t="s">
        <v>0</v>
      </c>
      <c r="E123" s="5"/>
      <c r="F123" s="5">
        <v>0</v>
      </c>
      <c r="G123" s="5">
        <v>1</v>
      </c>
      <c r="H123" s="5" t="s">
        <v>1</v>
      </c>
      <c r="I123" s="5" t="s">
        <v>32</v>
      </c>
      <c r="J123" s="5" t="s">
        <v>3</v>
      </c>
      <c r="K123" s="19" t="s">
        <v>76</v>
      </c>
      <c r="L123" s="6"/>
    </row>
    <row r="124" spans="2:17" x14ac:dyDescent="0.25">
      <c r="C124" s="4"/>
      <c r="D124" s="7">
        <f>IF('Knox &amp; Hamilton Rates'!T15&gt;'Knox &amp; Hamilton Rates'!T14,'Knox &amp; Hamilton Rates'!T14,'Knox &amp; Hamilton Rates'!T15)</f>
        <v>0</v>
      </c>
      <c r="E124" s="5"/>
      <c r="F124" s="5"/>
      <c r="G124" s="5"/>
      <c r="H124" s="8">
        <f>ROUNDUP((D124/1000),0)</f>
        <v>0</v>
      </c>
      <c r="I124" s="5">
        <v>1</v>
      </c>
      <c r="J124" s="5">
        <f>IF(H124&gt;0,'Knox &amp; Hamilton Rate Table'!E6,0)</f>
        <v>0</v>
      </c>
      <c r="K124" s="6">
        <f>J124*1.2</f>
        <v>0</v>
      </c>
      <c r="L124" s="6"/>
    </row>
    <row r="125" spans="2:17" x14ac:dyDescent="0.25">
      <c r="C125" s="4"/>
      <c r="D125" s="4"/>
      <c r="E125" s="5" t="s">
        <v>23</v>
      </c>
      <c r="F125" s="5">
        <v>1</v>
      </c>
      <c r="G125" s="5">
        <v>100</v>
      </c>
      <c r="H125" s="5" t="s">
        <v>2</v>
      </c>
      <c r="I125" s="5" t="s">
        <v>7</v>
      </c>
      <c r="J125" s="5" t="s">
        <v>8</v>
      </c>
      <c r="K125" s="6"/>
      <c r="L125" s="6"/>
    </row>
    <row r="126" spans="2:17" x14ac:dyDescent="0.25">
      <c r="C126" s="4"/>
      <c r="D126" s="4"/>
      <c r="E126" s="5"/>
      <c r="F126" s="5"/>
      <c r="G126" s="5"/>
      <c r="H126" s="8">
        <f>H124-1</f>
        <v>-1</v>
      </c>
      <c r="I126" s="8">
        <f>IF(H126&gt;99,99,H126)</f>
        <v>-1</v>
      </c>
      <c r="J126" s="5">
        <f>IF(I126&gt;0,I126*'Knox &amp; Hamilton Rate Table'!E7,0)</f>
        <v>0</v>
      </c>
      <c r="K126" s="6">
        <f>J126*1.2</f>
        <v>0</v>
      </c>
      <c r="L126" s="6"/>
    </row>
    <row r="127" spans="2:17" x14ac:dyDescent="0.25">
      <c r="C127" s="4"/>
      <c r="D127" s="4"/>
      <c r="E127" s="5" t="s">
        <v>24</v>
      </c>
      <c r="F127" s="5">
        <v>100</v>
      </c>
      <c r="G127" s="5">
        <v>1000</v>
      </c>
      <c r="H127" s="5" t="s">
        <v>9</v>
      </c>
      <c r="I127" s="5" t="s">
        <v>7</v>
      </c>
      <c r="J127" s="5" t="s">
        <v>10</v>
      </c>
      <c r="K127" s="6"/>
      <c r="L127" s="6"/>
    </row>
    <row r="128" spans="2:17" x14ac:dyDescent="0.25">
      <c r="C128" s="4"/>
      <c r="D128" s="4"/>
      <c r="E128" s="5"/>
      <c r="F128" s="5"/>
      <c r="G128" s="5"/>
      <c r="H128" s="8">
        <f>H126-99</f>
        <v>-100</v>
      </c>
      <c r="I128" s="5">
        <f>IF(H128&gt;900,900,H128)</f>
        <v>-100</v>
      </c>
      <c r="J128" s="5">
        <f>IF(I128&gt;0,I128*'Knox &amp; Hamilton Rate Table'!E8,0)</f>
        <v>0</v>
      </c>
      <c r="K128" s="6">
        <f>J128*1.2</f>
        <v>0</v>
      </c>
      <c r="L128" s="6"/>
    </row>
    <row r="129" spans="3:12" x14ac:dyDescent="0.25">
      <c r="C129" s="4"/>
      <c r="D129" s="4"/>
      <c r="E129" s="5" t="s">
        <v>26</v>
      </c>
      <c r="F129" s="5">
        <v>1000</v>
      </c>
      <c r="G129" s="5">
        <v>5000</v>
      </c>
      <c r="H129" s="5" t="s">
        <v>16</v>
      </c>
      <c r="I129" s="5" t="s">
        <v>7</v>
      </c>
      <c r="J129" s="5" t="s">
        <v>21</v>
      </c>
      <c r="K129" s="6"/>
      <c r="L129" s="6"/>
    </row>
    <row r="130" spans="3:12" x14ac:dyDescent="0.25">
      <c r="C130" s="4"/>
      <c r="D130" s="4"/>
      <c r="E130" s="5"/>
      <c r="F130" s="5"/>
      <c r="G130" s="5"/>
      <c r="H130" s="8">
        <f>H128-900</f>
        <v>-1000</v>
      </c>
      <c r="I130" s="5">
        <f>IF(H130&gt;4000,4000,H130)</f>
        <v>-1000</v>
      </c>
      <c r="J130" s="5">
        <f>IF(I130&gt;0,I130*'Knox &amp; Hamilton Rate Table'!E9,0)</f>
        <v>0</v>
      </c>
      <c r="K130" s="6">
        <f>J130*1.2</f>
        <v>0</v>
      </c>
      <c r="L130" s="6"/>
    </row>
    <row r="131" spans="3:12" x14ac:dyDescent="0.25">
      <c r="C131" s="4"/>
      <c r="D131" s="4"/>
      <c r="E131" s="5" t="s">
        <v>25</v>
      </c>
      <c r="F131" s="5">
        <v>5000</v>
      </c>
      <c r="G131" s="5">
        <v>10000</v>
      </c>
      <c r="H131" s="5" t="s">
        <v>20</v>
      </c>
      <c r="I131" s="5" t="s">
        <v>7</v>
      </c>
      <c r="J131" s="5" t="s">
        <v>22</v>
      </c>
      <c r="K131" s="6"/>
      <c r="L131" s="6"/>
    </row>
    <row r="132" spans="3:12" x14ac:dyDescent="0.25">
      <c r="C132" s="4"/>
      <c r="D132" s="4"/>
      <c r="E132" s="5"/>
      <c r="F132" s="5"/>
      <c r="G132" s="5"/>
      <c r="H132" s="8">
        <f>H130-4000</f>
        <v>-5000</v>
      </c>
      <c r="I132" s="5">
        <f>IF(H132&gt;5000,5000,H132)</f>
        <v>-5000</v>
      </c>
      <c r="J132" s="5">
        <f>IF(I132&gt;0,I132*'Knox &amp; Hamilton Rate Table'!E10, 0)</f>
        <v>0</v>
      </c>
      <c r="K132" s="6">
        <f>J132*1.2</f>
        <v>0</v>
      </c>
      <c r="L132" s="6"/>
    </row>
    <row r="133" spans="3:12" x14ac:dyDescent="0.25">
      <c r="C133" s="4"/>
      <c r="D133" s="4"/>
      <c r="E133" s="5" t="s">
        <v>27</v>
      </c>
      <c r="F133" s="5">
        <v>10000</v>
      </c>
      <c r="G133" s="5">
        <v>15000</v>
      </c>
      <c r="H133" s="5" t="s">
        <v>28</v>
      </c>
      <c r="I133" s="5" t="s">
        <v>7</v>
      </c>
      <c r="J133" s="5" t="s">
        <v>29</v>
      </c>
      <c r="K133" s="6"/>
      <c r="L133" s="6"/>
    </row>
    <row r="134" spans="3:12" x14ac:dyDescent="0.25">
      <c r="C134" s="4"/>
      <c r="D134" s="4"/>
      <c r="E134" s="5"/>
      <c r="F134" s="5"/>
      <c r="G134" s="5"/>
      <c r="H134" s="8">
        <f>H132-5000</f>
        <v>-10000</v>
      </c>
      <c r="I134" s="5">
        <f>IF(H134&gt;5000,5000,H134)</f>
        <v>-10000</v>
      </c>
      <c r="J134" s="5">
        <f>IF(I134&gt;0,I134*'Knox &amp; Hamilton Rate Table'!E11,0)</f>
        <v>0</v>
      </c>
      <c r="K134" s="6">
        <f>J134*1.2</f>
        <v>0</v>
      </c>
      <c r="L134" s="6"/>
    </row>
    <row r="135" spans="3:12" x14ac:dyDescent="0.25">
      <c r="C135" s="4"/>
      <c r="D135" s="4"/>
      <c r="E135" s="5" t="s">
        <v>15</v>
      </c>
      <c r="F135" s="5">
        <v>15000</v>
      </c>
      <c r="G135" s="5"/>
      <c r="H135" s="5" t="s">
        <v>30</v>
      </c>
      <c r="I135" s="5" t="s">
        <v>7</v>
      </c>
      <c r="J135" s="5" t="s">
        <v>31</v>
      </c>
      <c r="K135" s="6"/>
      <c r="L135" s="6"/>
    </row>
    <row r="136" spans="3:12" x14ac:dyDescent="0.25">
      <c r="C136" s="4"/>
      <c r="D136" s="4"/>
      <c r="E136" s="5"/>
      <c r="F136" s="5"/>
      <c r="G136" s="5"/>
      <c r="H136" s="8">
        <f>H134-5000</f>
        <v>-15000</v>
      </c>
      <c r="I136" s="8">
        <f>H136</f>
        <v>-15000</v>
      </c>
      <c r="J136" s="5">
        <f>IF(I136&gt;0,I136*'Knox &amp; Hamilton Rate Table'!E12,0)</f>
        <v>0</v>
      </c>
      <c r="K136" s="6">
        <f>J136*1.2</f>
        <v>0</v>
      </c>
      <c r="L136" s="6"/>
    </row>
    <row r="137" spans="3:12" x14ac:dyDescent="0.25">
      <c r="C137" s="4"/>
      <c r="D137" s="4"/>
      <c r="E137" s="5"/>
      <c r="F137" s="5"/>
      <c r="G137" s="5"/>
      <c r="H137" s="15" t="s">
        <v>33</v>
      </c>
      <c r="I137" s="15">
        <f>SUM(I124:I136)</f>
        <v>-31100</v>
      </c>
      <c r="J137" s="15">
        <f>IF(D124&gt;=1000,SUM(J124:J136),0)</f>
        <v>0</v>
      </c>
      <c r="K137" s="16">
        <f>IF(D124&gt;=1000,SUM(K124:K136),0)</f>
        <v>0</v>
      </c>
      <c r="L137" s="6"/>
    </row>
    <row r="138" spans="3:12" x14ac:dyDescent="0.25">
      <c r="C138" s="4"/>
      <c r="D138" s="9"/>
      <c r="E138" s="10"/>
      <c r="F138" s="10"/>
      <c r="G138" s="10"/>
      <c r="H138" s="11" t="s">
        <v>74</v>
      </c>
      <c r="I138" s="10"/>
      <c r="J138" s="11">
        <f>J137*0.3</f>
        <v>0</v>
      </c>
      <c r="K138" s="12">
        <f>0.3*K137</f>
        <v>0</v>
      </c>
      <c r="L138" s="6"/>
    </row>
    <row r="139" spans="3:12" x14ac:dyDescent="0.25">
      <c r="C139" s="4"/>
      <c r="D139" s="5"/>
      <c r="E139" s="5"/>
      <c r="F139" s="5"/>
      <c r="G139" s="5"/>
      <c r="H139" s="5"/>
      <c r="I139" s="5"/>
      <c r="J139" s="5"/>
      <c r="K139" s="5"/>
      <c r="L139" s="20"/>
    </row>
    <row r="140" spans="3:12" x14ac:dyDescent="0.25">
      <c r="C140" s="4"/>
      <c r="D140" s="1" t="s">
        <v>84</v>
      </c>
      <c r="E140" s="2"/>
      <c r="F140" s="2"/>
      <c r="G140" s="2"/>
      <c r="H140" s="2"/>
      <c r="I140" s="2"/>
      <c r="J140" s="3"/>
      <c r="K140" s="5"/>
      <c r="L140" s="10"/>
    </row>
    <row r="141" spans="3:12" x14ac:dyDescent="0.25">
      <c r="C141" s="4"/>
      <c r="D141" s="4"/>
      <c r="E141" s="5"/>
      <c r="F141" s="5" t="s">
        <v>62</v>
      </c>
      <c r="G141" s="5" t="s">
        <v>63</v>
      </c>
      <c r="H141" s="5"/>
      <c r="I141" s="5"/>
      <c r="J141" s="6"/>
      <c r="K141" s="5"/>
    </row>
    <row r="142" spans="3:12" x14ac:dyDescent="0.25">
      <c r="C142" s="4"/>
      <c r="D142" s="4" t="s">
        <v>0</v>
      </c>
      <c r="E142" s="5"/>
      <c r="F142" s="5">
        <v>0</v>
      </c>
      <c r="G142" s="5">
        <v>1</v>
      </c>
      <c r="H142" s="5" t="s">
        <v>1</v>
      </c>
      <c r="I142" s="5" t="s">
        <v>32</v>
      </c>
      <c r="J142" s="6" t="s">
        <v>3</v>
      </c>
      <c r="K142" s="5"/>
    </row>
    <row r="143" spans="3:12" x14ac:dyDescent="0.25">
      <c r="C143" s="4"/>
      <c r="D143" s="7">
        <f>'Knox &amp; Hamilton Rates'!T17</f>
        <v>0</v>
      </c>
      <c r="E143" s="5"/>
      <c r="F143" s="5"/>
      <c r="G143" s="5"/>
      <c r="H143" s="8">
        <f>ROUNDUP((D143/1000),0)</f>
        <v>0</v>
      </c>
      <c r="I143" s="8">
        <v>1</v>
      </c>
      <c r="J143" s="6">
        <f>'Knox &amp; Hamilton Rate Table'!E6</f>
        <v>200</v>
      </c>
      <c r="K143" s="5"/>
    </row>
    <row r="144" spans="3:12" x14ac:dyDescent="0.25">
      <c r="C144" s="4"/>
      <c r="D144" s="4"/>
      <c r="E144" s="5" t="s">
        <v>23</v>
      </c>
      <c r="F144" s="5">
        <v>2</v>
      </c>
      <c r="G144" s="5">
        <v>100</v>
      </c>
      <c r="H144" s="5" t="s">
        <v>2</v>
      </c>
      <c r="I144" s="5" t="s">
        <v>7</v>
      </c>
      <c r="J144" s="6" t="s">
        <v>8</v>
      </c>
      <c r="K144" s="5"/>
    </row>
    <row r="145" spans="3:11" x14ac:dyDescent="0.25">
      <c r="C145" s="4"/>
      <c r="D145" s="4"/>
      <c r="E145" s="5"/>
      <c r="F145" s="5"/>
      <c r="G145" s="5"/>
      <c r="H145" s="8">
        <f>H143-1</f>
        <v>-1</v>
      </c>
      <c r="I145" s="8">
        <f>IF(H145&gt;99,99,H145)</f>
        <v>-1</v>
      </c>
      <c r="J145" s="6">
        <f>IF(I145&gt;0,I145*'Knox &amp; Hamilton Rate Table'!E7,0)</f>
        <v>0</v>
      </c>
      <c r="K145" s="5"/>
    </row>
    <row r="146" spans="3:11" x14ac:dyDescent="0.25">
      <c r="C146" s="4"/>
      <c r="D146" s="4"/>
      <c r="E146" s="5" t="s">
        <v>24</v>
      </c>
      <c r="F146" s="5">
        <v>101</v>
      </c>
      <c r="G146" s="5">
        <v>1000</v>
      </c>
      <c r="H146" s="5" t="s">
        <v>9</v>
      </c>
      <c r="I146" s="5" t="s">
        <v>7</v>
      </c>
      <c r="J146" s="6" t="s">
        <v>10</v>
      </c>
      <c r="K146" s="5"/>
    </row>
    <row r="147" spans="3:11" x14ac:dyDescent="0.25">
      <c r="C147" s="4"/>
      <c r="D147" s="4" t="s">
        <v>53</v>
      </c>
      <c r="E147" s="5"/>
      <c r="F147" s="5"/>
      <c r="G147" s="5"/>
      <c r="H147" s="8">
        <f>H145-99</f>
        <v>-100</v>
      </c>
      <c r="I147" s="5">
        <f>IF(H147&gt;900,900,H147)</f>
        <v>-100</v>
      </c>
      <c r="J147" s="6">
        <f>IF(I147&gt;0,I147*'Knox &amp; Hamilton Rate Table'!E8,0)</f>
        <v>0</v>
      </c>
      <c r="K147" s="5"/>
    </row>
    <row r="148" spans="3:11" x14ac:dyDescent="0.25">
      <c r="C148" s="4"/>
      <c r="D148" s="4">
        <f>IF(J156&lt;200,200,J156)</f>
        <v>200</v>
      </c>
      <c r="E148" s="5" t="s">
        <v>26</v>
      </c>
      <c r="F148" s="5">
        <v>1001</v>
      </c>
      <c r="G148" s="5">
        <v>5000</v>
      </c>
      <c r="H148" s="5" t="s">
        <v>16</v>
      </c>
      <c r="I148" s="5" t="s">
        <v>7</v>
      </c>
      <c r="J148" s="6" t="s">
        <v>21</v>
      </c>
      <c r="K148" s="5"/>
    </row>
    <row r="149" spans="3:11" x14ac:dyDescent="0.25">
      <c r="C149" s="4"/>
      <c r="D149" s="4" t="s">
        <v>52</v>
      </c>
      <c r="E149" s="5"/>
      <c r="F149" s="5"/>
      <c r="G149" s="5"/>
      <c r="H149" s="8">
        <f>H147-900</f>
        <v>-1000</v>
      </c>
      <c r="I149" s="5">
        <f>IF(H149&gt;4000,4000,H149)</f>
        <v>-1000</v>
      </c>
      <c r="J149" s="6">
        <f>IF(I149&gt;0,I149*'Knox &amp; Hamilton Rate Table'!E9,0)</f>
        <v>0</v>
      </c>
      <c r="K149" s="5"/>
    </row>
    <row r="150" spans="3:11" x14ac:dyDescent="0.25">
      <c r="C150" s="4"/>
      <c r="D150" s="4">
        <f>IF(J156=0,0,D148*1.2)</f>
        <v>0</v>
      </c>
      <c r="E150" s="5" t="s">
        <v>25</v>
      </c>
      <c r="F150" s="5">
        <v>5001</v>
      </c>
      <c r="G150" s="5">
        <v>10000</v>
      </c>
      <c r="H150" s="5" t="s">
        <v>20</v>
      </c>
      <c r="I150" s="5" t="s">
        <v>7</v>
      </c>
      <c r="J150" s="6" t="s">
        <v>22</v>
      </c>
      <c r="K150" s="5"/>
    </row>
    <row r="151" spans="3:11" x14ac:dyDescent="0.25">
      <c r="C151" s="4"/>
      <c r="D151" s="4" t="s">
        <v>54</v>
      </c>
      <c r="E151" s="5"/>
      <c r="F151" s="5"/>
      <c r="G151" s="5"/>
      <c r="H151" s="8">
        <f>H149-4000</f>
        <v>-5000</v>
      </c>
      <c r="I151" s="5">
        <f>IF(H151&gt;5000,5000,H151)</f>
        <v>-5000</v>
      </c>
      <c r="J151" s="6">
        <f>IF(I151&gt;0,I151*'Knox &amp; Hamilton Rate Table'!E10, 0)</f>
        <v>0</v>
      </c>
      <c r="K151" s="5"/>
    </row>
    <row r="152" spans="3:11" x14ac:dyDescent="0.25">
      <c r="C152" s="4"/>
      <c r="D152" s="4">
        <f>D148*0.7</f>
        <v>140</v>
      </c>
      <c r="E152" s="5" t="s">
        <v>27</v>
      </c>
      <c r="F152" s="5">
        <v>10001</v>
      </c>
      <c r="G152" s="5">
        <v>15000</v>
      </c>
      <c r="H152" s="5" t="s">
        <v>28</v>
      </c>
      <c r="I152" s="5" t="s">
        <v>7</v>
      </c>
      <c r="J152" s="6" t="s">
        <v>29</v>
      </c>
      <c r="K152" s="5"/>
    </row>
    <row r="153" spans="3:11" x14ac:dyDescent="0.25">
      <c r="C153" s="4"/>
      <c r="D153" s="4"/>
      <c r="E153" s="5"/>
      <c r="F153" s="5"/>
      <c r="G153" s="5"/>
      <c r="H153" s="8">
        <f>H151-5000</f>
        <v>-10000</v>
      </c>
      <c r="I153" s="5">
        <f>IF(H153&gt;5000,5000,H153)</f>
        <v>-10000</v>
      </c>
      <c r="J153" s="6">
        <f>IF(I153&gt;0,I153*'Knox &amp; Hamilton Rate Table'!E11,0)</f>
        <v>0</v>
      </c>
      <c r="K153" s="5"/>
    </row>
    <row r="154" spans="3:11" x14ac:dyDescent="0.25">
      <c r="C154" s="4"/>
      <c r="D154" s="4"/>
      <c r="E154" s="5" t="s">
        <v>15</v>
      </c>
      <c r="F154" s="5">
        <v>15000</v>
      </c>
      <c r="G154" s="5"/>
      <c r="H154" s="5" t="s">
        <v>30</v>
      </c>
      <c r="I154" s="5" t="s">
        <v>7</v>
      </c>
      <c r="J154" s="6" t="s">
        <v>31</v>
      </c>
      <c r="K154" s="5"/>
    </row>
    <row r="155" spans="3:11" x14ac:dyDescent="0.25">
      <c r="C155" s="4"/>
      <c r="D155" s="4"/>
      <c r="E155" s="5"/>
      <c r="F155" s="5"/>
      <c r="G155" s="5"/>
      <c r="H155" s="8">
        <f>H153-5000</f>
        <v>-15000</v>
      </c>
      <c r="I155" s="8">
        <f>H155</f>
        <v>-15000</v>
      </c>
      <c r="J155" s="6">
        <f>IF(I155&gt;0,I155*'Knox &amp; Hamilton Rate Table'!E12,0)</f>
        <v>0</v>
      </c>
      <c r="K155" s="5"/>
    </row>
    <row r="156" spans="3:11" x14ac:dyDescent="0.25">
      <c r="C156" s="4"/>
      <c r="D156" s="9"/>
      <c r="E156" s="10"/>
      <c r="F156" s="10"/>
      <c r="G156" s="10"/>
      <c r="H156" s="11" t="s">
        <v>33</v>
      </c>
      <c r="I156" s="11">
        <f>SUM(I143:I155)</f>
        <v>-31100</v>
      </c>
      <c r="J156" s="12">
        <f>IF(D143&gt;0,(SUM(J143:J155)*0.7),0)</f>
        <v>0</v>
      </c>
      <c r="K156" s="5"/>
    </row>
    <row r="157" spans="3:11" x14ac:dyDescent="0.25">
      <c r="C157" s="9"/>
      <c r="D157" s="10"/>
      <c r="E157" s="10"/>
      <c r="F157" s="10"/>
      <c r="G157" s="10"/>
      <c r="H157" s="10"/>
      <c r="I157" s="10"/>
      <c r="J157" s="10"/>
      <c r="K157" s="10"/>
    </row>
    <row r="158" spans="3:11" x14ac:dyDescent="0.25">
      <c r="C158" s="10"/>
      <c r="D158" s="10"/>
      <c r="E158" s="10"/>
      <c r="F158" s="10"/>
      <c r="G158" s="10"/>
      <c r="H158" s="10"/>
      <c r="I158" s="10"/>
      <c r="J158" s="10"/>
      <c r="K158" s="10"/>
    </row>
  </sheetData>
  <mergeCells count="2">
    <mergeCell ref="B2:Q2"/>
    <mergeCell ref="B3:Q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152"/>
  <sheetViews>
    <sheetView topLeftCell="A67" workbookViewId="0">
      <selection activeCell="E77" sqref="E77"/>
    </sheetView>
  </sheetViews>
  <sheetFormatPr defaultColWidth="0" defaultRowHeight="15.75" x14ac:dyDescent="0.25"/>
  <cols>
    <col min="1" max="1" width="1.125" customWidth="1"/>
    <col min="2" max="2" width="1.125" style="4" customWidth="1"/>
    <col min="3" max="3" width="1.125" style="5" customWidth="1"/>
    <col min="4" max="4" width="33.375" style="5" customWidth="1"/>
    <col min="5" max="7" width="10.875" style="5" customWidth="1"/>
    <col min="8" max="8" width="27.5" style="5" customWidth="1"/>
    <col min="9" max="9" width="25.125" style="5" bestFit="1" customWidth="1"/>
    <col min="10" max="10" width="15.875" style="5" bestFit="1" customWidth="1"/>
    <col min="11" max="14" width="10.875" style="5" customWidth="1"/>
    <col min="15" max="15" width="25.125" style="5" bestFit="1" customWidth="1"/>
    <col min="16" max="16" width="1.125" style="5" customWidth="1"/>
    <col min="17" max="17" width="1.125" style="6" customWidth="1"/>
    <col min="18" max="18" width="1.125" customWidth="1"/>
    <col min="19" max="16384" width="10.875" hidden="1"/>
  </cols>
  <sheetData>
    <row r="1" spans="2:17" ht="6.95" customHeigh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2:17" x14ac:dyDescent="0.25">
      <c r="B2" s="360" t="s">
        <v>130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</row>
    <row r="3" spans="2:17" x14ac:dyDescent="0.25">
      <c r="B3" s="363" t="s">
        <v>129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</row>
    <row r="4" spans="2:17" ht="6.95" customHeight="1" x14ac:dyDescent="0.25"/>
    <row r="5" spans="2:17" x14ac:dyDescent="0.25"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2:17" x14ac:dyDescent="0.25">
      <c r="C6" s="4"/>
      <c r="D6" s="371" t="s">
        <v>90</v>
      </c>
      <c r="E6" s="372"/>
      <c r="G6" s="371" t="s">
        <v>87</v>
      </c>
      <c r="H6" s="373"/>
      <c r="I6" s="372"/>
      <c r="P6" s="6"/>
    </row>
    <row r="7" spans="2:17" x14ac:dyDescent="0.25">
      <c r="C7" s="4"/>
      <c r="D7" s="4" t="s">
        <v>58</v>
      </c>
      <c r="E7" s="155">
        <f>D23</f>
        <v>0</v>
      </c>
      <c r="G7" s="369" t="s">
        <v>59</v>
      </c>
      <c r="H7" s="370"/>
      <c r="I7" s="6">
        <f>D25</f>
        <v>0</v>
      </c>
      <c r="P7" s="6"/>
    </row>
    <row r="8" spans="2:17" x14ac:dyDescent="0.25">
      <c r="C8" s="4"/>
      <c r="D8" s="4" t="s">
        <v>74</v>
      </c>
      <c r="E8" s="155">
        <f>-J68</f>
        <v>0</v>
      </c>
      <c r="G8" s="369" t="s">
        <v>74</v>
      </c>
      <c r="H8" s="370"/>
      <c r="I8" s="6">
        <f>-K68</f>
        <v>0</v>
      </c>
      <c r="P8" s="6"/>
    </row>
    <row r="9" spans="2:17" x14ac:dyDescent="0.25">
      <c r="C9" s="4"/>
      <c r="D9" s="4" t="s">
        <v>67</v>
      </c>
      <c r="E9" s="155">
        <f>N49</f>
        <v>0</v>
      </c>
      <c r="G9" s="374" t="s">
        <v>73</v>
      </c>
      <c r="H9" s="375"/>
      <c r="I9" s="6">
        <f>O49</f>
        <v>0</v>
      </c>
      <c r="P9" s="6"/>
    </row>
    <row r="10" spans="2:17" x14ac:dyDescent="0.25">
      <c r="C10" s="4"/>
      <c r="D10" s="158" t="s">
        <v>77</v>
      </c>
      <c r="E10" s="157">
        <f>IF(SUM(E7:E8)&lt;150,150+E9,SUM(E7:E9))</f>
        <v>150</v>
      </c>
      <c r="G10" s="367" t="s">
        <v>77</v>
      </c>
      <c r="H10" s="368"/>
      <c r="I10" s="12">
        <f>IF(SUM(I7:I8)&lt;150,150+I9,SUM(I7:I9))</f>
        <v>150</v>
      </c>
      <c r="P10" s="6"/>
    </row>
    <row r="11" spans="2:17" x14ac:dyDescent="0.25">
      <c r="C11" s="4"/>
      <c r="P11" s="6"/>
    </row>
    <row r="12" spans="2:17" x14ac:dyDescent="0.25">
      <c r="C12" s="4"/>
      <c r="P12" s="6"/>
    </row>
    <row r="13" spans="2:17" x14ac:dyDescent="0.25">
      <c r="C13" s="4"/>
      <c r="P13" s="6"/>
    </row>
    <row r="14" spans="2:17" x14ac:dyDescent="0.25">
      <c r="C14" s="4"/>
      <c r="P14" s="6"/>
    </row>
    <row r="15" spans="2:17" x14ac:dyDescent="0.25">
      <c r="C15" s="4"/>
      <c r="D15" s="1" t="s">
        <v>60</v>
      </c>
      <c r="E15" s="2"/>
      <c r="F15" s="2"/>
      <c r="G15" s="2"/>
      <c r="H15" s="2"/>
      <c r="I15" s="2"/>
      <c r="J15" s="3"/>
      <c r="P15" s="6"/>
    </row>
    <row r="16" spans="2:17" x14ac:dyDescent="0.25">
      <c r="C16" s="4"/>
      <c r="D16" s="4"/>
      <c r="F16" s="5" t="s">
        <v>62</v>
      </c>
      <c r="G16" s="5" t="s">
        <v>63</v>
      </c>
      <c r="J16" s="6"/>
      <c r="P16" s="6"/>
    </row>
    <row r="17" spans="3:16" x14ac:dyDescent="0.25">
      <c r="C17" s="4"/>
      <c r="D17" s="4" t="s">
        <v>0</v>
      </c>
      <c r="F17" s="5">
        <v>0</v>
      </c>
      <c r="G17" s="5">
        <v>49</v>
      </c>
      <c r="H17" s="5" t="s">
        <v>1</v>
      </c>
      <c r="I17" s="5" t="s">
        <v>32</v>
      </c>
      <c r="J17" s="6" t="s">
        <v>3</v>
      </c>
      <c r="P17" s="6"/>
    </row>
    <row r="18" spans="3:16" x14ac:dyDescent="0.25">
      <c r="C18" s="4"/>
      <c r="D18" s="7">
        <f>'Knox &amp; Hamilton Rates'!I13</f>
        <v>0</v>
      </c>
      <c r="H18" s="8">
        <f>ROUNDUP((D18/1000),0)</f>
        <v>0</v>
      </c>
      <c r="I18" s="8">
        <f>IF(H18&lt;50,H18,50)</f>
        <v>0</v>
      </c>
      <c r="J18" s="6">
        <f>IF(H18&gt;35,I18*'National Rate Table'!E6,IF(H18&gt;0,150,0))</f>
        <v>0</v>
      </c>
      <c r="P18" s="6"/>
    </row>
    <row r="19" spans="3:16" x14ac:dyDescent="0.25">
      <c r="C19" s="4"/>
      <c r="D19" s="4"/>
      <c r="E19" s="5" t="s">
        <v>23</v>
      </c>
      <c r="F19" s="5">
        <v>50</v>
      </c>
      <c r="G19" s="5">
        <v>100</v>
      </c>
      <c r="H19" s="5" t="s">
        <v>2</v>
      </c>
      <c r="I19" s="5" t="s">
        <v>7</v>
      </c>
      <c r="J19" s="6" t="s">
        <v>8</v>
      </c>
      <c r="P19" s="6"/>
    </row>
    <row r="20" spans="3:16" x14ac:dyDescent="0.25">
      <c r="C20" s="4"/>
      <c r="D20" s="4"/>
      <c r="H20" s="8">
        <f>H18-50</f>
        <v>-50</v>
      </c>
      <c r="I20" s="8">
        <f>IF(H20&gt;50,50,H20)</f>
        <v>-50</v>
      </c>
      <c r="J20" s="6">
        <f>IF(I20&gt;0,I20*'National Rate Table'!E7,0)</f>
        <v>0</v>
      </c>
      <c r="P20" s="6"/>
    </row>
    <row r="21" spans="3:16" x14ac:dyDescent="0.25">
      <c r="C21" s="4"/>
      <c r="D21" s="4"/>
      <c r="E21" s="5" t="s">
        <v>24</v>
      </c>
      <c r="F21" s="5">
        <v>101</v>
      </c>
      <c r="G21" s="5">
        <v>1000</v>
      </c>
      <c r="H21" s="5" t="s">
        <v>9</v>
      </c>
      <c r="I21" s="5" t="s">
        <v>7</v>
      </c>
      <c r="J21" s="6" t="s">
        <v>10</v>
      </c>
      <c r="P21" s="6"/>
    </row>
    <row r="22" spans="3:16" x14ac:dyDescent="0.25">
      <c r="C22" s="4"/>
      <c r="D22" s="4" t="s">
        <v>53</v>
      </c>
      <c r="H22" s="8">
        <f>H20-50</f>
        <v>-100</v>
      </c>
      <c r="I22" s="5">
        <f>IF(H22&gt;900,900,H22)</f>
        <v>-100</v>
      </c>
      <c r="J22" s="6">
        <f>IF(I22&gt;0,I22*'National Rate Table'!E8,0)</f>
        <v>0</v>
      </c>
      <c r="P22" s="6"/>
    </row>
    <row r="23" spans="3:16" x14ac:dyDescent="0.25">
      <c r="C23" s="4"/>
      <c r="D23" s="4">
        <f>J31</f>
        <v>0</v>
      </c>
      <c r="E23" s="5" t="s">
        <v>26</v>
      </c>
      <c r="F23" s="5">
        <v>1001</v>
      </c>
      <c r="G23" s="5">
        <v>5000</v>
      </c>
      <c r="H23" s="5" t="s">
        <v>16</v>
      </c>
      <c r="I23" s="5" t="s">
        <v>7</v>
      </c>
      <c r="J23" s="6" t="s">
        <v>21</v>
      </c>
      <c r="P23" s="6"/>
    </row>
    <row r="24" spans="3:16" x14ac:dyDescent="0.25">
      <c r="C24" s="4"/>
      <c r="D24" s="4" t="s">
        <v>52</v>
      </c>
      <c r="H24" s="8">
        <f>H22-900</f>
        <v>-1000</v>
      </c>
      <c r="I24" s="5">
        <f>IF(H24&gt;4000,4000,H24)</f>
        <v>-1000</v>
      </c>
      <c r="J24" s="6">
        <f>IF(I24&gt;0,I24*'National Rate Table'!E9,0)</f>
        <v>0</v>
      </c>
      <c r="P24" s="6"/>
    </row>
    <row r="25" spans="3:16" x14ac:dyDescent="0.25">
      <c r="C25" s="4"/>
      <c r="D25" s="4">
        <f>D23*1.2</f>
        <v>0</v>
      </c>
      <c r="E25" s="5" t="s">
        <v>25</v>
      </c>
      <c r="F25" s="5">
        <v>5001</v>
      </c>
      <c r="G25" s="5">
        <v>10000</v>
      </c>
      <c r="H25" s="5" t="s">
        <v>20</v>
      </c>
      <c r="I25" s="5" t="s">
        <v>7</v>
      </c>
      <c r="J25" s="6" t="s">
        <v>22</v>
      </c>
      <c r="P25" s="6"/>
    </row>
    <row r="26" spans="3:16" x14ac:dyDescent="0.25">
      <c r="C26" s="4"/>
      <c r="D26" s="4" t="s">
        <v>54</v>
      </c>
      <c r="H26" s="8">
        <f>H24-4000</f>
        <v>-5000</v>
      </c>
      <c r="I26" s="5">
        <f>IF(H26&gt;5000,5000,H26)</f>
        <v>-5000</v>
      </c>
      <c r="J26" s="6">
        <f>IF(I26&gt;0,I26*'National Rate Table'!E10, 0)</f>
        <v>0</v>
      </c>
      <c r="P26" s="6"/>
    </row>
    <row r="27" spans="3:16" x14ac:dyDescent="0.25">
      <c r="C27" s="4"/>
      <c r="D27" s="4">
        <f>D23*0.7</f>
        <v>0</v>
      </c>
      <c r="E27" s="5" t="s">
        <v>27</v>
      </c>
      <c r="F27" s="5">
        <v>10001</v>
      </c>
      <c r="G27" s="5">
        <v>15000</v>
      </c>
      <c r="H27" s="5" t="s">
        <v>28</v>
      </c>
      <c r="I27" s="5" t="s">
        <v>7</v>
      </c>
      <c r="J27" s="6" t="s">
        <v>29</v>
      </c>
      <c r="P27" s="6"/>
    </row>
    <row r="28" spans="3:16" x14ac:dyDescent="0.25">
      <c r="C28" s="4"/>
      <c r="D28" s="4"/>
      <c r="H28" s="8">
        <f>H26-5000</f>
        <v>-10000</v>
      </c>
      <c r="I28" s="5">
        <f>IF(H28&gt;5000,5000,H28)</f>
        <v>-10000</v>
      </c>
      <c r="J28" s="6">
        <f>IF(I28&gt;0,I28*'National Rate Table'!E11,0)</f>
        <v>0</v>
      </c>
      <c r="P28" s="6"/>
    </row>
    <row r="29" spans="3:16" x14ac:dyDescent="0.25">
      <c r="C29" s="4"/>
      <c r="D29" s="4"/>
      <c r="E29" s="5" t="s">
        <v>15</v>
      </c>
      <c r="F29" s="5">
        <v>150000</v>
      </c>
      <c r="H29" s="5" t="s">
        <v>30</v>
      </c>
      <c r="I29" s="5" t="s">
        <v>7</v>
      </c>
      <c r="J29" s="6" t="s">
        <v>31</v>
      </c>
      <c r="P29" s="6"/>
    </row>
    <row r="30" spans="3:16" x14ac:dyDescent="0.25">
      <c r="C30" s="4"/>
      <c r="D30" s="4"/>
      <c r="H30" s="8">
        <f>H28-5000</f>
        <v>-15000</v>
      </c>
      <c r="I30" s="8">
        <f>H30</f>
        <v>-15000</v>
      </c>
      <c r="J30" s="6">
        <f>IF(I30&gt;0,I30*'National Rate Table'!E12,0)</f>
        <v>0</v>
      </c>
      <c r="P30" s="6"/>
    </row>
    <row r="31" spans="3:16" x14ac:dyDescent="0.25">
      <c r="C31" s="4"/>
      <c r="D31" s="9"/>
      <c r="E31" s="10"/>
      <c r="F31" s="10"/>
      <c r="G31" s="10"/>
      <c r="H31" s="11" t="s">
        <v>33</v>
      </c>
      <c r="I31" s="11">
        <f>SUM(I18:I30)</f>
        <v>-31150</v>
      </c>
      <c r="J31" s="12">
        <f>SUM(J18:J30)</f>
        <v>0</v>
      </c>
      <c r="P31" s="6"/>
    </row>
    <row r="32" spans="3:16" x14ac:dyDescent="0.25">
      <c r="C32" s="4"/>
      <c r="P32" s="6"/>
    </row>
    <row r="33" spans="3:16" x14ac:dyDescent="0.25">
      <c r="C33" s="4"/>
      <c r="D33" s="13" t="s">
        <v>61</v>
      </c>
      <c r="E33" s="3"/>
      <c r="P33" s="6"/>
    </row>
    <row r="34" spans="3:16" x14ac:dyDescent="0.25">
      <c r="C34" s="4"/>
      <c r="D34" s="4"/>
      <c r="E34" s="6"/>
      <c r="P34" s="6"/>
    </row>
    <row r="35" spans="3:16" x14ac:dyDescent="0.25">
      <c r="C35" s="4"/>
      <c r="D35" s="9" t="s">
        <v>57</v>
      </c>
      <c r="E35" s="14">
        <f>ROUNDUP(('Knox &amp; Hamilton Rates'!I17/1000),0)</f>
        <v>0</v>
      </c>
      <c r="P35" s="6"/>
    </row>
    <row r="36" spans="3:16" x14ac:dyDescent="0.25">
      <c r="C36" s="4"/>
      <c r="P36" s="6"/>
    </row>
    <row r="37" spans="3:16" x14ac:dyDescent="0.25">
      <c r="C37" s="4"/>
      <c r="D37" s="13" t="s">
        <v>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6"/>
    </row>
    <row r="38" spans="3:16" x14ac:dyDescent="0.25">
      <c r="C38" s="4"/>
      <c r="D38" s="4" t="s">
        <v>65</v>
      </c>
      <c r="F38" s="8">
        <f>E35-H18</f>
        <v>0</v>
      </c>
      <c r="O38" s="6"/>
      <c r="P38" s="6"/>
    </row>
    <row r="39" spans="3:16" x14ac:dyDescent="0.25">
      <c r="C39" s="4"/>
      <c r="D39" s="4"/>
      <c r="G39" s="5" t="s">
        <v>64</v>
      </c>
      <c r="H39" s="5" t="s">
        <v>118</v>
      </c>
      <c r="I39" s="5" t="s">
        <v>117</v>
      </c>
      <c r="J39" s="5" t="s">
        <v>120</v>
      </c>
      <c r="K39" s="17" t="s">
        <v>119</v>
      </c>
      <c r="L39" s="17" t="s">
        <v>122</v>
      </c>
      <c r="M39" s="17" t="s">
        <v>123</v>
      </c>
      <c r="N39" s="5" t="s">
        <v>71</v>
      </c>
      <c r="O39" s="6" t="s">
        <v>72</v>
      </c>
      <c r="P39" s="6"/>
    </row>
    <row r="40" spans="3:16" x14ac:dyDescent="0.25">
      <c r="C40" s="4"/>
      <c r="D40" s="4">
        <v>1</v>
      </c>
      <c r="E40" s="5">
        <v>0</v>
      </c>
      <c r="F40" s="5">
        <v>50</v>
      </c>
      <c r="G40" s="5" t="b">
        <f>IF(AND(H18&gt;E40,H18&lt;=F40), TRUE, FALSE)</f>
        <v>0</v>
      </c>
      <c r="H40" s="8">
        <v>50</v>
      </c>
      <c r="I40" s="8">
        <f>IF(G40=TRUE,ABS(((F40-H18))),0)</f>
        <v>0</v>
      </c>
      <c r="J40" s="5">
        <v>0</v>
      </c>
      <c r="K40" s="132">
        <v>0</v>
      </c>
      <c r="M40" s="141">
        <v>0</v>
      </c>
      <c r="N40" s="5">
        <f>IF(AND(SUM(J40:J46)&lt;0,G40=TRUE),F38*'National Rate Table'!E6,IF((I40+J40+K40)&lt;0,0,(J40+I40+K40)*'National Rate Table'!E6))</f>
        <v>0</v>
      </c>
      <c r="O40" s="6">
        <f t="shared" ref="O40:O46" si="0">N40*1.2</f>
        <v>0</v>
      </c>
      <c r="P40" s="6"/>
    </row>
    <row r="41" spans="3:16" x14ac:dyDescent="0.25">
      <c r="C41" s="4"/>
      <c r="D41" s="4">
        <v>2</v>
      </c>
      <c r="E41" s="5">
        <v>50</v>
      </c>
      <c r="F41" s="5">
        <v>100</v>
      </c>
      <c r="G41" s="5" t="b">
        <f>IF(AND(H18&gt;E41,H18&lt;=F41), TRUE, FALSE)</f>
        <v>0</v>
      </c>
      <c r="H41" s="8">
        <v>50</v>
      </c>
      <c r="I41" s="8">
        <f>IF(G41=TRUE,ABS((F41-H18)),0)</f>
        <v>0</v>
      </c>
      <c r="J41" s="5">
        <f>IF(I40&gt;0,IF((F38-I40)&gt;H41,H41,F38-I40),0)</f>
        <v>0</v>
      </c>
      <c r="K41" s="132">
        <v>0</v>
      </c>
      <c r="L41" s="132">
        <f>E35-F40</f>
        <v>-50</v>
      </c>
      <c r="M41" s="141">
        <f>IF(AND(L41&gt;0,SUM(I41:K41)=0,G40=TRUE),L41*'National Rate Table'!E7,0)</f>
        <v>0</v>
      </c>
      <c r="N41" s="5">
        <f>IF(AND(SUM(J40:J46)&lt;0,G41=TRUE),F38*'National Rate Table'!E7,IF((I41+J41+K41)&lt;0,0,(J41+I41+K41)*'National Rate Table'!E7))</f>
        <v>0</v>
      </c>
      <c r="O41" s="6">
        <f t="shared" si="0"/>
        <v>0</v>
      </c>
      <c r="P41" s="6"/>
    </row>
    <row r="42" spans="3:16" x14ac:dyDescent="0.25">
      <c r="C42" s="4"/>
      <c r="D42" s="4">
        <v>3</v>
      </c>
      <c r="E42" s="5">
        <v>100</v>
      </c>
      <c r="F42" s="5">
        <v>1000</v>
      </c>
      <c r="G42" s="5" t="b">
        <f>IF(AND(H18&gt;E42,H18&lt;=F42), TRUE, FALSE)</f>
        <v>0</v>
      </c>
      <c r="H42" s="8">
        <v>900</v>
      </c>
      <c r="I42" s="8">
        <f>IF(G42=TRUE,ABS((F42-H18)),0)</f>
        <v>0</v>
      </c>
      <c r="J42" s="5">
        <f>IF(I41&gt;0,IF((F38-I41)&gt;H42,H42,F38-I41),0)</f>
        <v>0</v>
      </c>
      <c r="K42" s="132">
        <f>IF(AND((J41+I40)&lt;F38,(J41+I40)&gt;0),F38-(J41+I40),0)</f>
        <v>0</v>
      </c>
      <c r="L42" s="132">
        <f>E35-F41</f>
        <v>-100</v>
      </c>
      <c r="M42" s="141">
        <f>IF(AND(L42&gt;0,SUM(I42:K42)=0,G41=TRUE),L42*'National Rate Table'!E8,0)</f>
        <v>0</v>
      </c>
      <c r="N42" s="5">
        <f>IF(AND(SUM(J40:J46)&lt;0,G42=TRUE),F38*'National Rate Table'!E8,IF((I42+J42+K42)&lt;0,0,(J42+I42+K42)*'National Rate Table'!E8))</f>
        <v>0</v>
      </c>
      <c r="O42" s="6">
        <f t="shared" si="0"/>
        <v>0</v>
      </c>
      <c r="P42" s="6"/>
    </row>
    <row r="43" spans="3:16" x14ac:dyDescent="0.25">
      <c r="C43" s="4"/>
      <c r="D43" s="4">
        <v>4</v>
      </c>
      <c r="E43" s="5">
        <v>1000</v>
      </c>
      <c r="F43" s="5">
        <v>5000</v>
      </c>
      <c r="G43" s="5" t="b">
        <f>IF(AND(H18&gt;E43,H18&lt;=F43), TRUE, FALSE)</f>
        <v>0</v>
      </c>
      <c r="H43" s="8">
        <v>4000</v>
      </c>
      <c r="I43" s="8">
        <f>IF(G43=TRUE,ABS((F43-H18)),0)</f>
        <v>0</v>
      </c>
      <c r="J43" s="5">
        <f>IF(I42&gt;0,IF((F38-I42)&gt;H43,H43,F38-I42),0)</f>
        <v>0</v>
      </c>
      <c r="K43" s="132">
        <f>IF(AND((J42+I41)&lt;F38,(J42+I41)&gt;0),F38-(J42+I41),0)</f>
        <v>0</v>
      </c>
      <c r="L43" s="132">
        <f>E35-F42</f>
        <v>-1000</v>
      </c>
      <c r="M43" s="141">
        <f>IF(AND(L43&gt;0,SUM(I43:K43)=0,G42=TRUE),L43*'National Rate Table'!E9,0)</f>
        <v>0</v>
      </c>
      <c r="N43" s="5">
        <f>IF(AND(SUM(J40:J46)&lt;0,G43=TRUE),F38*'National Rate Table'!E9,IF((I43+J43+K43)&lt;0,0,(J43+I43+K43)*'National Rate Table'!E9))</f>
        <v>0</v>
      </c>
      <c r="O43" s="6">
        <f t="shared" si="0"/>
        <v>0</v>
      </c>
      <c r="P43" s="6"/>
    </row>
    <row r="44" spans="3:16" x14ac:dyDescent="0.25">
      <c r="C44" s="4"/>
      <c r="D44" s="4">
        <v>5</v>
      </c>
      <c r="E44" s="5">
        <v>5000</v>
      </c>
      <c r="F44" s="5">
        <v>10000</v>
      </c>
      <c r="G44" s="5" t="b">
        <f>IF(AND(H18&gt;E44,H18&lt;=F44), TRUE, FALSE)</f>
        <v>0</v>
      </c>
      <c r="H44" s="8">
        <v>5000</v>
      </c>
      <c r="I44" s="8">
        <f>IF(G44=TRUE,ABS((F44-H18)),0)</f>
        <v>0</v>
      </c>
      <c r="J44" s="5">
        <f>IF(I43&gt;0,IF((F38-I43)&gt;H44,H44,F38-I43),0)</f>
        <v>0</v>
      </c>
      <c r="K44" s="132">
        <f>IF(AND((J43+I42)&lt;F38,(J43+I42)&gt;0),F38-(J43+I42),0)</f>
        <v>0</v>
      </c>
      <c r="L44" s="132">
        <f>E35-F43</f>
        <v>-5000</v>
      </c>
      <c r="M44" s="141">
        <f>IF(AND(L44&gt;0,SUM(I44:K44)=0,G43=TRUE),L44*'National Rate Table'!E10,0)</f>
        <v>0</v>
      </c>
      <c r="N44" s="5">
        <f>IF(AND(SUM(J40:J46)&lt;0,G44=TRUE),F38*'National Rate Table'!E10,IF((I44+J44+K44)&lt;0,0,(J44+I44+K44)*'National Rate Table'!E10))</f>
        <v>0</v>
      </c>
      <c r="O44" s="6">
        <f t="shared" si="0"/>
        <v>0</v>
      </c>
      <c r="P44" s="6"/>
    </row>
    <row r="45" spans="3:16" x14ac:dyDescent="0.25">
      <c r="C45" s="4"/>
      <c r="D45" s="4">
        <v>6</v>
      </c>
      <c r="E45" s="5">
        <v>10000</v>
      </c>
      <c r="F45" s="5">
        <v>15000</v>
      </c>
      <c r="G45" s="5" t="b">
        <f>IF(AND(H18&gt;E45,H18&lt;=F45), TRUE, FALSE)</f>
        <v>0</v>
      </c>
      <c r="H45" s="8">
        <v>5000</v>
      </c>
      <c r="I45" s="8">
        <f>IF(G45=TRUE,ABS((F45-H18)),0)</f>
        <v>0</v>
      </c>
      <c r="J45" s="5">
        <f>IF(I44&gt;0,IF((F38-I44)&gt;H45,H45,F38-I44),0)</f>
        <v>0</v>
      </c>
      <c r="K45" s="132">
        <f>IF(AND((J44+I43)&lt;F38,(J44+I43)&gt;0),F38-(J44+I43),0)</f>
        <v>0</v>
      </c>
      <c r="L45" s="132">
        <f>E35-F44</f>
        <v>-10000</v>
      </c>
      <c r="M45" s="141">
        <f>IF(AND(L45&gt;0,SUM(I45:K45)=0,G44=TRUE),L45*'National Rate Table'!E11,0)</f>
        <v>0</v>
      </c>
      <c r="N45" s="5">
        <f>IF(AND(SUM(J40:J46)&lt;0,G45=TRUE),F38*'National Rate Table'!E11,IF((I45+J45+K45)&lt;0,0,(J45+I45+K45)*'National Rate Table'!E11))</f>
        <v>0</v>
      </c>
      <c r="O45" s="6">
        <f t="shared" si="0"/>
        <v>0</v>
      </c>
      <c r="P45" s="6"/>
    </row>
    <row r="46" spans="3:16" x14ac:dyDescent="0.25">
      <c r="C46" s="4"/>
      <c r="D46" s="4">
        <v>7</v>
      </c>
      <c r="E46" s="5">
        <v>15000</v>
      </c>
      <c r="G46" s="5" t="b">
        <f>IF(H18&gt;E46, TRUE, FALSE)</f>
        <v>0</v>
      </c>
      <c r="H46" s="8"/>
      <c r="I46" s="8">
        <f>IF(F38&gt;0,(IF(G46=TRUE,ABS((F46-H18)),0)),0)</f>
        <v>0</v>
      </c>
      <c r="J46" s="5">
        <f>IF(I45&gt;0,IF((F38-I45)&gt;H46,H46,F38-I45),0)</f>
        <v>0</v>
      </c>
      <c r="K46" s="132">
        <f>IF(AND((J45+I44)&lt;F38,(J45+I44)&gt;0),F38-(J45+I44),0)</f>
        <v>0</v>
      </c>
      <c r="L46" s="132">
        <f>E35-F45</f>
        <v>-15000</v>
      </c>
      <c r="M46" s="141">
        <f>IF(AND(L46&gt;0,SUM(I46:K46)=0,G45=TRUE),L46*'National Rate Table'!E12,0)</f>
        <v>0</v>
      </c>
      <c r="N46" s="5">
        <f>IF(AND(SUM(J40:J46)&lt;0,G46=TRUE),F38*'National Rate Table'!E12,IF((I46+J46+K46)&lt;0,0,(J46+I46+K46)*'National Rate Table'!E12))</f>
        <v>0</v>
      </c>
      <c r="O46" s="6">
        <f t="shared" si="0"/>
        <v>0</v>
      </c>
      <c r="P46" s="6"/>
    </row>
    <row r="47" spans="3:16" x14ac:dyDescent="0.25">
      <c r="C47" s="4"/>
      <c r="D47" s="4"/>
      <c r="F47" s="5" t="s">
        <v>68</v>
      </c>
      <c r="N47" s="204">
        <f>IF(SUM(N40:N46)&lt;0,0,(SUM(N40:N46))+SUM(M40:M46))*0.7</f>
        <v>0</v>
      </c>
      <c r="O47" s="16">
        <f>N47*1.2</f>
        <v>0</v>
      </c>
      <c r="P47" s="6"/>
    </row>
    <row r="48" spans="3:16" x14ac:dyDescent="0.25">
      <c r="C48" s="4"/>
      <c r="D48" s="4"/>
      <c r="F48" s="5" t="s">
        <v>69</v>
      </c>
      <c r="N48" s="15">
        <f>IF(E35&gt;0,35,0)</f>
        <v>0</v>
      </c>
      <c r="O48" s="16">
        <f>IF(E35&gt;0,35,0)</f>
        <v>0</v>
      </c>
      <c r="P48" s="6"/>
    </row>
    <row r="49" spans="3:16" x14ac:dyDescent="0.25">
      <c r="C49" s="4"/>
      <c r="D49" s="9"/>
      <c r="E49" s="10"/>
      <c r="F49" s="10" t="s">
        <v>70</v>
      </c>
      <c r="G49" s="10"/>
      <c r="H49" s="10"/>
      <c r="I49" s="10"/>
      <c r="J49" s="10"/>
      <c r="K49" s="10"/>
      <c r="L49" s="10"/>
      <c r="M49" s="10"/>
      <c r="N49" s="205">
        <f>N48+N47</f>
        <v>0</v>
      </c>
      <c r="O49" s="12">
        <f>O48+O47</f>
        <v>0</v>
      </c>
      <c r="P49" s="6"/>
    </row>
    <row r="50" spans="3:16" x14ac:dyDescent="0.25">
      <c r="C50" s="4"/>
      <c r="P50" s="6"/>
    </row>
    <row r="51" spans="3:16" x14ac:dyDescent="0.25">
      <c r="C51" s="4"/>
      <c r="D51" s="13" t="s">
        <v>75</v>
      </c>
      <c r="E51" s="2"/>
      <c r="F51" s="2"/>
      <c r="G51" s="2"/>
      <c r="H51" s="2"/>
      <c r="I51" s="2"/>
      <c r="J51" s="2"/>
      <c r="K51" s="3"/>
      <c r="P51" s="6"/>
    </row>
    <row r="52" spans="3:16" x14ac:dyDescent="0.25">
      <c r="C52" s="4"/>
      <c r="D52" s="4"/>
      <c r="F52" s="5" t="s">
        <v>62</v>
      </c>
      <c r="G52" s="5" t="s">
        <v>63</v>
      </c>
      <c r="K52" s="6"/>
      <c r="P52" s="6"/>
    </row>
    <row r="53" spans="3:16" x14ac:dyDescent="0.25">
      <c r="C53" s="4"/>
      <c r="D53" s="4" t="s">
        <v>0</v>
      </c>
      <c r="F53" s="5">
        <v>0</v>
      </c>
      <c r="G53" s="5">
        <v>49</v>
      </c>
      <c r="H53" s="5" t="s">
        <v>1</v>
      </c>
      <c r="I53" s="5" t="s">
        <v>32</v>
      </c>
      <c r="J53" s="5" t="s">
        <v>3</v>
      </c>
      <c r="K53" s="19" t="s">
        <v>76</v>
      </c>
      <c r="P53" s="6"/>
    </row>
    <row r="54" spans="3:16" x14ac:dyDescent="0.25">
      <c r="C54" s="4"/>
      <c r="D54" s="7">
        <f>IF('Knox &amp; Hamilton Rates'!I15&gt;'Knox &amp; Hamilton Rates'!I13,'Knox &amp; Hamilton Rates'!I13,'Knox &amp; Hamilton Rates'!I15)</f>
        <v>0</v>
      </c>
      <c r="H54" s="8">
        <f>ROUNDUP((D54/1000),0)</f>
        <v>0</v>
      </c>
      <c r="I54" s="5">
        <f>IF(H54&lt;50,H54,50)</f>
        <v>0</v>
      </c>
      <c r="J54" s="5">
        <f>IF(H54&gt;0,I54*'National Rate Table'!E6,0)</f>
        <v>0</v>
      </c>
      <c r="K54" s="6">
        <f>J54*1.2</f>
        <v>0</v>
      </c>
      <c r="P54" s="6"/>
    </row>
    <row r="55" spans="3:16" x14ac:dyDescent="0.25">
      <c r="C55" s="4"/>
      <c r="D55" s="4"/>
      <c r="E55" s="5" t="s">
        <v>23</v>
      </c>
      <c r="F55" s="5">
        <v>50</v>
      </c>
      <c r="G55" s="5">
        <v>100</v>
      </c>
      <c r="H55" s="5" t="s">
        <v>2</v>
      </c>
      <c r="I55" s="5" t="s">
        <v>7</v>
      </c>
      <c r="J55" s="5" t="s">
        <v>8</v>
      </c>
      <c r="K55" s="6"/>
      <c r="P55" s="6"/>
    </row>
    <row r="56" spans="3:16" x14ac:dyDescent="0.25">
      <c r="C56" s="4"/>
      <c r="D56" s="4"/>
      <c r="H56" s="8">
        <f>H54-50</f>
        <v>-50</v>
      </c>
      <c r="I56" s="8">
        <f>IF(H56&gt;50,50,H56)</f>
        <v>-50</v>
      </c>
      <c r="J56" s="5">
        <f>IF(I56&gt;0,I56*'National Rate Table'!E7,0)</f>
        <v>0</v>
      </c>
      <c r="K56" s="6">
        <f>J56*1.2</f>
        <v>0</v>
      </c>
      <c r="P56" s="6"/>
    </row>
    <row r="57" spans="3:16" x14ac:dyDescent="0.25">
      <c r="C57" s="4"/>
      <c r="D57" s="4"/>
      <c r="E57" s="5" t="s">
        <v>24</v>
      </c>
      <c r="F57" s="5">
        <v>101</v>
      </c>
      <c r="G57" s="5">
        <v>1000</v>
      </c>
      <c r="H57" s="5" t="s">
        <v>9</v>
      </c>
      <c r="I57" s="5" t="s">
        <v>7</v>
      </c>
      <c r="J57" s="5" t="s">
        <v>10</v>
      </c>
      <c r="K57" s="6"/>
      <c r="P57" s="6"/>
    </row>
    <row r="58" spans="3:16" x14ac:dyDescent="0.25">
      <c r="C58" s="4"/>
      <c r="D58" s="4"/>
      <c r="H58" s="8">
        <f>H56-50</f>
        <v>-100</v>
      </c>
      <c r="I58" s="5">
        <f>IF(H58&gt;900,900,H58)</f>
        <v>-100</v>
      </c>
      <c r="J58" s="5">
        <f>IF(I58&gt;0,I58*'National Rate Table'!E8,0)</f>
        <v>0</v>
      </c>
      <c r="K58" s="6">
        <f>J58*1.2</f>
        <v>0</v>
      </c>
      <c r="P58" s="6"/>
    </row>
    <row r="59" spans="3:16" x14ac:dyDescent="0.25">
      <c r="C59" s="4"/>
      <c r="D59" s="4"/>
      <c r="E59" s="5" t="s">
        <v>26</v>
      </c>
      <c r="F59" s="5">
        <v>1001</v>
      </c>
      <c r="G59" s="5">
        <v>5000</v>
      </c>
      <c r="H59" s="5" t="s">
        <v>16</v>
      </c>
      <c r="I59" s="5" t="s">
        <v>7</v>
      </c>
      <c r="J59" s="5" t="s">
        <v>21</v>
      </c>
      <c r="K59" s="6"/>
      <c r="P59" s="6"/>
    </row>
    <row r="60" spans="3:16" x14ac:dyDescent="0.25">
      <c r="C60" s="4"/>
      <c r="D60" s="4"/>
      <c r="H60" s="8">
        <f>H58-900</f>
        <v>-1000</v>
      </c>
      <c r="I60" s="5">
        <f>IF(H60&gt;4000,4000,H60)</f>
        <v>-1000</v>
      </c>
      <c r="J60" s="5">
        <f>IF(I60&gt;0,I60*'National Rate Table'!E9,0)</f>
        <v>0</v>
      </c>
      <c r="K60" s="6">
        <f>J60*1.2</f>
        <v>0</v>
      </c>
      <c r="P60" s="6"/>
    </row>
    <row r="61" spans="3:16" x14ac:dyDescent="0.25">
      <c r="C61" s="4"/>
      <c r="D61" s="4"/>
      <c r="E61" s="5" t="s">
        <v>25</v>
      </c>
      <c r="F61" s="5">
        <v>5001</v>
      </c>
      <c r="G61" s="5">
        <v>10000</v>
      </c>
      <c r="H61" s="5" t="s">
        <v>20</v>
      </c>
      <c r="I61" s="5" t="s">
        <v>7</v>
      </c>
      <c r="J61" s="5" t="s">
        <v>22</v>
      </c>
      <c r="K61" s="6"/>
      <c r="P61" s="6"/>
    </row>
    <row r="62" spans="3:16" x14ac:dyDescent="0.25">
      <c r="C62" s="4"/>
      <c r="D62" s="4"/>
      <c r="H62" s="8">
        <f>H60-4000</f>
        <v>-5000</v>
      </c>
      <c r="I62" s="5">
        <f>IF(H62&gt;5000,5000,H62)</f>
        <v>-5000</v>
      </c>
      <c r="J62" s="5">
        <f>IF(I62&gt;0,I62*'National Rate Table'!E10, 0)</f>
        <v>0</v>
      </c>
      <c r="K62" s="6">
        <f>J62*1.2</f>
        <v>0</v>
      </c>
      <c r="P62" s="6"/>
    </row>
    <row r="63" spans="3:16" x14ac:dyDescent="0.25">
      <c r="C63" s="4"/>
      <c r="D63" s="4"/>
      <c r="E63" s="5" t="s">
        <v>27</v>
      </c>
      <c r="F63" s="5">
        <v>10001</v>
      </c>
      <c r="G63" s="5">
        <v>15000</v>
      </c>
      <c r="H63" s="5" t="s">
        <v>28</v>
      </c>
      <c r="I63" s="5" t="s">
        <v>7</v>
      </c>
      <c r="J63" s="5" t="s">
        <v>29</v>
      </c>
      <c r="K63" s="6"/>
      <c r="P63" s="6"/>
    </row>
    <row r="64" spans="3:16" x14ac:dyDescent="0.25">
      <c r="C64" s="4"/>
      <c r="D64" s="4"/>
      <c r="H64" s="8">
        <f>H62-5000</f>
        <v>-10000</v>
      </c>
      <c r="I64" s="5">
        <f>IF(H64&gt;5000,5000,H64)</f>
        <v>-10000</v>
      </c>
      <c r="J64" s="5">
        <f>IF(I64&gt;0,I64*'National Rate Table'!E11,0)</f>
        <v>0</v>
      </c>
      <c r="K64" s="6">
        <f>J64*1.2</f>
        <v>0</v>
      </c>
      <c r="P64" s="6"/>
    </row>
    <row r="65" spans="3:16" x14ac:dyDescent="0.25">
      <c r="C65" s="4"/>
      <c r="D65" s="4"/>
      <c r="E65" s="5" t="s">
        <v>15</v>
      </c>
      <c r="F65" s="5">
        <v>15001</v>
      </c>
      <c r="H65" s="5" t="s">
        <v>30</v>
      </c>
      <c r="I65" s="5" t="s">
        <v>7</v>
      </c>
      <c r="J65" s="5" t="s">
        <v>31</v>
      </c>
      <c r="K65" s="6"/>
      <c r="P65" s="6"/>
    </row>
    <row r="66" spans="3:16" x14ac:dyDescent="0.25">
      <c r="C66" s="4"/>
      <c r="D66" s="4"/>
      <c r="H66" s="8">
        <f>H64-5000</f>
        <v>-15000</v>
      </c>
      <c r="I66" s="8">
        <f>H66</f>
        <v>-15000</v>
      </c>
      <c r="J66" s="5">
        <f>IF(I66&gt;0,I66*'National Rate Table'!E12,0)</f>
        <v>0</v>
      </c>
      <c r="K66" s="6">
        <f>J66*1.2</f>
        <v>0</v>
      </c>
      <c r="P66" s="6"/>
    </row>
    <row r="67" spans="3:16" x14ac:dyDescent="0.25">
      <c r="C67" s="4"/>
      <c r="D67" s="4"/>
      <c r="H67" s="15" t="s">
        <v>33</v>
      </c>
      <c r="I67" s="15">
        <f>SUM(I54:I66)</f>
        <v>-31150</v>
      </c>
      <c r="J67" s="15">
        <f>IF(SUM(J54:J66)&lt;150,150,SUM(J54:J66))</f>
        <v>150</v>
      </c>
      <c r="K67" s="15">
        <f>J67*1.2</f>
        <v>180</v>
      </c>
      <c r="P67" s="6"/>
    </row>
    <row r="68" spans="3:16" x14ac:dyDescent="0.25">
      <c r="C68" s="4"/>
      <c r="D68" s="9"/>
      <c r="E68" s="10"/>
      <c r="F68" s="10"/>
      <c r="G68" s="10"/>
      <c r="H68" s="11" t="s">
        <v>74</v>
      </c>
      <c r="I68" s="10"/>
      <c r="J68" s="11">
        <f>IF(SUM(J54:J66)=0,0,J67*0.3)</f>
        <v>0</v>
      </c>
      <c r="K68" s="11">
        <f>IF(SUM(K54:K66)=0,0,K67*0.3)</f>
        <v>0</v>
      </c>
      <c r="P68" s="6"/>
    </row>
    <row r="69" spans="3:16" x14ac:dyDescent="0.25"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20"/>
    </row>
    <row r="71" spans="3:16" x14ac:dyDescent="0.25">
      <c r="C71" s="1" t="s">
        <v>82</v>
      </c>
      <c r="D71" s="2"/>
      <c r="E71" s="2"/>
      <c r="F71" s="2"/>
      <c r="G71" s="2"/>
      <c r="H71" s="2"/>
      <c r="I71" s="2"/>
      <c r="J71" s="2"/>
      <c r="K71" s="2"/>
      <c r="L71" s="3"/>
    </row>
    <row r="72" spans="3:16" x14ac:dyDescent="0.25">
      <c r="C72" s="4"/>
      <c r="L72" s="6"/>
    </row>
    <row r="73" spans="3:16" x14ac:dyDescent="0.25">
      <c r="C73" s="4"/>
      <c r="D73" s="371" t="s">
        <v>90</v>
      </c>
      <c r="E73" s="372"/>
      <c r="G73" s="371" t="s">
        <v>87</v>
      </c>
      <c r="H73" s="373"/>
      <c r="I73" s="372"/>
      <c r="L73" s="6"/>
    </row>
    <row r="74" spans="3:16" x14ac:dyDescent="0.25">
      <c r="C74" s="4"/>
      <c r="D74" s="4" t="s">
        <v>83</v>
      </c>
      <c r="E74" s="6">
        <f>IF(J95=0,0,D87)</f>
        <v>0</v>
      </c>
      <c r="G74" s="369" t="s">
        <v>85</v>
      </c>
      <c r="H74" s="370"/>
      <c r="I74" s="6">
        <f>D89</f>
        <v>0</v>
      </c>
      <c r="L74" s="6"/>
    </row>
    <row r="75" spans="3:16" x14ac:dyDescent="0.25">
      <c r="C75" s="4"/>
      <c r="D75" s="4" t="s">
        <v>158</v>
      </c>
      <c r="E75" s="6">
        <f>IF(D100=0,0,D105)</f>
        <v>0</v>
      </c>
      <c r="G75" s="369" t="s">
        <v>158</v>
      </c>
      <c r="H75" s="370"/>
      <c r="I75" s="6">
        <f>IF(D100=0,0,D107)</f>
        <v>0</v>
      </c>
      <c r="L75" s="6"/>
    </row>
    <row r="76" spans="3:16" x14ac:dyDescent="0.25">
      <c r="C76" s="4"/>
      <c r="D76" s="4" t="s">
        <v>84</v>
      </c>
      <c r="E76" s="6">
        <f>IF(J95=0,0,D143)</f>
        <v>0</v>
      </c>
      <c r="G76" s="369" t="s">
        <v>86</v>
      </c>
      <c r="H76" s="370"/>
      <c r="I76" s="6">
        <f>D145</f>
        <v>0</v>
      </c>
      <c r="L76" s="6"/>
    </row>
    <row r="77" spans="3:16" x14ac:dyDescent="0.25">
      <c r="C77" s="4"/>
      <c r="D77" s="158" t="s">
        <v>77</v>
      </c>
      <c r="E77" s="12">
        <f>SUM(E74:E76)</f>
        <v>0</v>
      </c>
      <c r="G77" s="367" t="s">
        <v>77</v>
      </c>
      <c r="H77" s="368"/>
      <c r="I77" s="12">
        <f>SUM(I74:I76)</f>
        <v>0</v>
      </c>
      <c r="L77" s="6"/>
    </row>
    <row r="78" spans="3:16" x14ac:dyDescent="0.25">
      <c r="C78" s="4"/>
      <c r="L78" s="6"/>
    </row>
    <row r="79" spans="3:16" x14ac:dyDescent="0.25">
      <c r="C79" s="4"/>
      <c r="D79" s="1" t="s">
        <v>83</v>
      </c>
      <c r="E79" s="2"/>
      <c r="F79" s="2"/>
      <c r="G79" s="2"/>
      <c r="H79" s="2"/>
      <c r="I79" s="2"/>
      <c r="J79" s="3"/>
      <c r="L79" s="6"/>
    </row>
    <row r="80" spans="3:16" x14ac:dyDescent="0.25">
      <c r="C80" s="4"/>
      <c r="D80" s="4"/>
      <c r="F80" s="5" t="s">
        <v>62</v>
      </c>
      <c r="G80" s="5" t="s">
        <v>63</v>
      </c>
      <c r="J80" s="6"/>
      <c r="L80" s="6"/>
    </row>
    <row r="81" spans="3:12" x14ac:dyDescent="0.25">
      <c r="C81" s="4"/>
      <c r="D81" s="4" t="s">
        <v>0</v>
      </c>
      <c r="F81" s="5">
        <v>0</v>
      </c>
      <c r="G81" s="5">
        <v>49</v>
      </c>
      <c r="H81" s="5" t="s">
        <v>1</v>
      </c>
      <c r="I81" s="5" t="s">
        <v>32</v>
      </c>
      <c r="J81" s="6" t="s">
        <v>3</v>
      </c>
      <c r="L81" s="6"/>
    </row>
    <row r="82" spans="3:12" x14ac:dyDescent="0.25">
      <c r="C82" s="4"/>
      <c r="D82" s="7">
        <f>'Knox &amp; Hamilton Rates'!T15</f>
        <v>0</v>
      </c>
      <c r="H82" s="8">
        <f>ROUNDUP((D82/1000),0)</f>
        <v>0</v>
      </c>
      <c r="I82" s="8">
        <f>IF(H82&lt;50,H82,50)</f>
        <v>0</v>
      </c>
      <c r="J82" s="6">
        <f>IF(H82&gt;35,I82*'National Rate Table'!E6,150)</f>
        <v>150</v>
      </c>
      <c r="L82" s="6"/>
    </row>
    <row r="83" spans="3:12" x14ac:dyDescent="0.25">
      <c r="C83" s="4"/>
      <c r="D83" s="4"/>
      <c r="E83" s="5" t="s">
        <v>23</v>
      </c>
      <c r="F83" s="5">
        <v>50</v>
      </c>
      <c r="G83" s="5">
        <v>100</v>
      </c>
      <c r="H83" s="5" t="s">
        <v>2</v>
      </c>
      <c r="I83" s="5" t="s">
        <v>7</v>
      </c>
      <c r="J83" s="6" t="s">
        <v>8</v>
      </c>
      <c r="L83" s="6"/>
    </row>
    <row r="84" spans="3:12" x14ac:dyDescent="0.25">
      <c r="C84" s="4"/>
      <c r="D84" s="4"/>
      <c r="H84" s="8">
        <f>H82-50</f>
        <v>-50</v>
      </c>
      <c r="I84" s="8">
        <f>IF(H84&gt;50,50,H84)</f>
        <v>-50</v>
      </c>
      <c r="J84" s="6">
        <f>IF(I84&gt;0,I84*'National Rate Table'!E7,0)</f>
        <v>0</v>
      </c>
      <c r="L84" s="6"/>
    </row>
    <row r="85" spans="3:12" x14ac:dyDescent="0.25">
      <c r="C85" s="4"/>
      <c r="D85" s="4"/>
      <c r="E85" s="5" t="s">
        <v>24</v>
      </c>
      <c r="F85" s="5">
        <v>101</v>
      </c>
      <c r="G85" s="5">
        <v>1000</v>
      </c>
      <c r="H85" s="5" t="s">
        <v>9</v>
      </c>
      <c r="I85" s="5" t="s">
        <v>7</v>
      </c>
      <c r="J85" s="6" t="s">
        <v>10</v>
      </c>
      <c r="L85" s="6"/>
    </row>
    <row r="86" spans="3:12" x14ac:dyDescent="0.25">
      <c r="C86" s="4"/>
      <c r="D86" s="4" t="s">
        <v>53</v>
      </c>
      <c r="H86" s="8">
        <f>H84-50</f>
        <v>-100</v>
      </c>
      <c r="I86" s="5">
        <f>IF(H86&gt;900,900,H86)</f>
        <v>-100</v>
      </c>
      <c r="J86" s="6">
        <f>IF(I86&gt;0,I86*'National Rate Table'!E8,0)</f>
        <v>0</v>
      </c>
      <c r="L86" s="6"/>
    </row>
    <row r="87" spans="3:12" x14ac:dyDescent="0.25">
      <c r="C87" s="4"/>
      <c r="D87" s="4">
        <f>IF(J95&lt;150,150,J95)</f>
        <v>150</v>
      </c>
      <c r="E87" s="5" t="s">
        <v>26</v>
      </c>
      <c r="F87" s="5">
        <v>1001</v>
      </c>
      <c r="G87" s="5">
        <v>5000</v>
      </c>
      <c r="H87" s="5" t="s">
        <v>16</v>
      </c>
      <c r="I87" s="5" t="s">
        <v>7</v>
      </c>
      <c r="J87" s="6" t="s">
        <v>21</v>
      </c>
      <c r="L87" s="6"/>
    </row>
    <row r="88" spans="3:12" x14ac:dyDescent="0.25">
      <c r="C88" s="4"/>
      <c r="D88" s="4" t="s">
        <v>52</v>
      </c>
      <c r="H88" s="8">
        <f>H86-900</f>
        <v>-1000</v>
      </c>
      <c r="I88" s="5">
        <f>IF(H88&gt;4000,4000,H88)</f>
        <v>-1000</v>
      </c>
      <c r="J88" s="6">
        <f>IF(I88&gt;0,I88*'National Rate Table'!E9,0)</f>
        <v>0</v>
      </c>
      <c r="L88" s="6"/>
    </row>
    <row r="89" spans="3:12" x14ac:dyDescent="0.25">
      <c r="C89" s="4"/>
      <c r="D89" s="4">
        <f>IF(J95=0,0,D87*1.2)</f>
        <v>0</v>
      </c>
      <c r="E89" s="5" t="s">
        <v>25</v>
      </c>
      <c r="F89" s="5">
        <v>5001</v>
      </c>
      <c r="G89" s="5">
        <v>10000</v>
      </c>
      <c r="H89" s="5" t="s">
        <v>20</v>
      </c>
      <c r="I89" s="5" t="s">
        <v>7</v>
      </c>
      <c r="J89" s="6" t="s">
        <v>22</v>
      </c>
      <c r="L89" s="6"/>
    </row>
    <row r="90" spans="3:12" x14ac:dyDescent="0.25">
      <c r="C90" s="4"/>
      <c r="D90" s="4" t="s">
        <v>54</v>
      </c>
      <c r="H90" s="8">
        <f>H88-4000</f>
        <v>-5000</v>
      </c>
      <c r="I90" s="5">
        <f>IF(H90&gt;5000,5000,H90)</f>
        <v>-5000</v>
      </c>
      <c r="J90" s="6">
        <f>IF(I90&gt;0,I90*'National Rate Table'!E10, 0)</f>
        <v>0</v>
      </c>
      <c r="L90" s="6"/>
    </row>
    <row r="91" spans="3:12" x14ac:dyDescent="0.25">
      <c r="C91" s="4"/>
      <c r="D91" s="4">
        <f>D87*0.7</f>
        <v>105</v>
      </c>
      <c r="E91" s="5" t="s">
        <v>27</v>
      </c>
      <c r="F91" s="5">
        <v>10001</v>
      </c>
      <c r="G91" s="5">
        <v>15000</v>
      </c>
      <c r="H91" s="5" t="s">
        <v>28</v>
      </c>
      <c r="I91" s="5" t="s">
        <v>7</v>
      </c>
      <c r="J91" s="6" t="s">
        <v>29</v>
      </c>
      <c r="L91" s="6"/>
    </row>
    <row r="92" spans="3:12" x14ac:dyDescent="0.25">
      <c r="C92" s="4"/>
      <c r="D92" s="4"/>
      <c r="H92" s="8">
        <f>H90-5000</f>
        <v>-10000</v>
      </c>
      <c r="I92" s="5">
        <f>IF(H92&gt;5000,5000,H92)</f>
        <v>-10000</v>
      </c>
      <c r="J92" s="6">
        <f>IF(I92&gt;0,I92*'National Rate Table'!E11,0)</f>
        <v>0</v>
      </c>
      <c r="L92" s="6"/>
    </row>
    <row r="93" spans="3:12" x14ac:dyDescent="0.25">
      <c r="C93" s="4"/>
      <c r="D93" s="4"/>
      <c r="E93" s="5" t="s">
        <v>15</v>
      </c>
      <c r="F93" s="5">
        <v>150000</v>
      </c>
      <c r="H93" s="5" t="s">
        <v>30</v>
      </c>
      <c r="I93" s="5" t="s">
        <v>7</v>
      </c>
      <c r="J93" s="6" t="s">
        <v>31</v>
      </c>
      <c r="L93" s="6"/>
    </row>
    <row r="94" spans="3:12" x14ac:dyDescent="0.25">
      <c r="C94" s="4"/>
      <c r="D94" s="4"/>
      <c r="H94" s="8">
        <f>H92-5000</f>
        <v>-15000</v>
      </c>
      <c r="I94" s="8">
        <f>H94</f>
        <v>-15000</v>
      </c>
      <c r="J94" s="6">
        <f>IF(I94&gt;0,I94*'National Rate Table'!E12,0)</f>
        <v>0</v>
      </c>
      <c r="L94" s="6"/>
    </row>
    <row r="95" spans="3:12" x14ac:dyDescent="0.25">
      <c r="C95" s="4"/>
      <c r="D95" s="9"/>
      <c r="E95" s="10"/>
      <c r="F95" s="10"/>
      <c r="G95" s="10"/>
      <c r="H95" s="11" t="s">
        <v>33</v>
      </c>
      <c r="I95" s="11">
        <f>SUM(I82:I94)</f>
        <v>-31150</v>
      </c>
      <c r="J95" s="12">
        <f>IF(D82&gt;0,(SUM(J82:J94)*0.7),0)</f>
        <v>0</v>
      </c>
      <c r="L95" s="6"/>
    </row>
    <row r="96" spans="3:12" x14ac:dyDescent="0.25">
      <c r="C96" s="4"/>
      <c r="H96" s="15"/>
      <c r="I96" s="15"/>
      <c r="J96" s="15"/>
      <c r="L96" s="6"/>
    </row>
    <row r="97" spans="3:12" x14ac:dyDescent="0.25">
      <c r="C97" s="4"/>
      <c r="D97" s="1" t="s">
        <v>160</v>
      </c>
      <c r="E97" s="2"/>
      <c r="F97" s="2"/>
      <c r="G97" s="2"/>
      <c r="H97" s="2"/>
      <c r="I97" s="2"/>
      <c r="J97" s="3"/>
      <c r="L97" s="6"/>
    </row>
    <row r="98" spans="3:12" x14ac:dyDescent="0.25">
      <c r="C98" s="4"/>
      <c r="D98" s="4"/>
      <c r="F98" s="5" t="s">
        <v>62</v>
      </c>
      <c r="G98" s="5" t="s">
        <v>63</v>
      </c>
      <c r="J98" s="6"/>
      <c r="L98" s="6"/>
    </row>
    <row r="99" spans="3:12" x14ac:dyDescent="0.25">
      <c r="C99" s="4"/>
      <c r="D99" s="4" t="s">
        <v>0</v>
      </c>
      <c r="F99" s="5">
        <v>0</v>
      </c>
      <c r="G99" s="5">
        <v>49</v>
      </c>
      <c r="H99" s="5" t="s">
        <v>1</v>
      </c>
      <c r="I99" s="5" t="s">
        <v>32</v>
      </c>
      <c r="J99" s="6" t="s">
        <v>3</v>
      </c>
      <c r="L99" s="6"/>
    </row>
    <row r="100" spans="3:12" x14ac:dyDescent="0.25">
      <c r="C100" s="4"/>
      <c r="D100" s="202">
        <f>'Knox &amp; Hamilton Rates'!T13</f>
        <v>0</v>
      </c>
      <c r="H100" s="8">
        <f>ROUNDUP((D100/1000),0)</f>
        <v>0</v>
      </c>
      <c r="I100" s="8">
        <f>IF(H100&lt;50,H100,50)</f>
        <v>0</v>
      </c>
      <c r="J100" s="6">
        <f>IF(H100&gt;35,I100*'National Rate Table'!E6,150)</f>
        <v>150</v>
      </c>
      <c r="L100" s="6"/>
    </row>
    <row r="101" spans="3:12" x14ac:dyDescent="0.25">
      <c r="C101" s="4"/>
      <c r="D101" s="4"/>
      <c r="E101" s="5" t="s">
        <v>23</v>
      </c>
      <c r="F101" s="5">
        <v>50</v>
      </c>
      <c r="G101" s="5">
        <v>100</v>
      </c>
      <c r="H101" s="5" t="s">
        <v>2</v>
      </c>
      <c r="I101" s="5" t="s">
        <v>7</v>
      </c>
      <c r="J101" s="6" t="s">
        <v>8</v>
      </c>
      <c r="L101" s="6"/>
    </row>
    <row r="102" spans="3:12" x14ac:dyDescent="0.25">
      <c r="C102" s="4"/>
      <c r="D102" s="4"/>
      <c r="H102" s="8">
        <f>H100-50</f>
        <v>-50</v>
      </c>
      <c r="I102" s="8">
        <f>IF(H102&gt;50,50,H102)</f>
        <v>-50</v>
      </c>
      <c r="J102" s="6">
        <f>IF(I102&gt;0,I102*'National Rate Table'!E7,0)</f>
        <v>0</v>
      </c>
      <c r="L102" s="6"/>
    </row>
    <row r="103" spans="3:12" x14ac:dyDescent="0.25">
      <c r="C103" s="4"/>
      <c r="D103" s="4"/>
      <c r="E103" s="5" t="s">
        <v>24</v>
      </c>
      <c r="F103" s="5">
        <v>101</v>
      </c>
      <c r="G103" s="5">
        <v>1000</v>
      </c>
      <c r="H103" s="5" t="s">
        <v>9</v>
      </c>
      <c r="I103" s="5" t="s">
        <v>7</v>
      </c>
      <c r="J103" s="6" t="s">
        <v>10</v>
      </c>
      <c r="L103" s="6"/>
    </row>
    <row r="104" spans="3:12" x14ac:dyDescent="0.25">
      <c r="C104" s="4"/>
      <c r="D104" s="4" t="s">
        <v>53</v>
      </c>
      <c r="H104" s="8">
        <f>H102-50</f>
        <v>-100</v>
      </c>
      <c r="I104" s="5">
        <f>IF(H104&gt;900,900,H104)</f>
        <v>-100</v>
      </c>
      <c r="J104" s="6">
        <f>IF(I104&gt;0,I104*'National Rate Table'!E8,0)</f>
        <v>0</v>
      </c>
      <c r="L104" s="6"/>
    </row>
    <row r="105" spans="3:12" x14ac:dyDescent="0.25">
      <c r="C105" s="4"/>
      <c r="D105" s="4">
        <f>IF(J113&lt;150,150,J113)</f>
        <v>150</v>
      </c>
      <c r="E105" s="5" t="s">
        <v>26</v>
      </c>
      <c r="F105" s="5">
        <v>1001</v>
      </c>
      <c r="G105" s="5">
        <v>5000</v>
      </c>
      <c r="H105" s="5" t="s">
        <v>16</v>
      </c>
      <c r="I105" s="5" t="s">
        <v>7</v>
      </c>
      <c r="J105" s="6" t="s">
        <v>21</v>
      </c>
      <c r="L105" s="6"/>
    </row>
    <row r="106" spans="3:12" x14ac:dyDescent="0.25">
      <c r="C106" s="4"/>
      <c r="D106" s="4" t="s">
        <v>52</v>
      </c>
      <c r="H106" s="8">
        <f>H104-900</f>
        <v>-1000</v>
      </c>
      <c r="I106" s="5">
        <f>IF(H106&gt;4000,4000,H106)</f>
        <v>-1000</v>
      </c>
      <c r="J106" s="6">
        <f>IF(I106&gt;0,I106*'National Rate Table'!E9,0)</f>
        <v>0</v>
      </c>
      <c r="L106" s="6"/>
    </row>
    <row r="107" spans="3:12" x14ac:dyDescent="0.25">
      <c r="C107" s="4"/>
      <c r="D107" s="4">
        <f>IF(J113=0,0,D105*1.2)</f>
        <v>0</v>
      </c>
      <c r="E107" s="5" t="s">
        <v>25</v>
      </c>
      <c r="F107" s="5">
        <v>5001</v>
      </c>
      <c r="G107" s="5">
        <v>10000</v>
      </c>
      <c r="H107" s="5" t="s">
        <v>20</v>
      </c>
      <c r="I107" s="5" t="s">
        <v>7</v>
      </c>
      <c r="J107" s="6" t="s">
        <v>22</v>
      </c>
      <c r="L107" s="6"/>
    </row>
    <row r="108" spans="3:12" x14ac:dyDescent="0.25">
      <c r="C108" s="4"/>
      <c r="D108" s="4" t="s">
        <v>54</v>
      </c>
      <c r="H108" s="8">
        <f>H106-4000</f>
        <v>-5000</v>
      </c>
      <c r="I108" s="5">
        <f>IF(H108&gt;5000,5000,H108)</f>
        <v>-5000</v>
      </c>
      <c r="J108" s="6">
        <f>IF(I108&gt;0,I108*'National Rate Table'!E10, 0)</f>
        <v>0</v>
      </c>
      <c r="L108" s="6"/>
    </row>
    <row r="109" spans="3:12" x14ac:dyDescent="0.25">
      <c r="C109" s="4"/>
      <c r="D109" s="4">
        <f>D105*0.7</f>
        <v>105</v>
      </c>
      <c r="E109" s="5" t="s">
        <v>27</v>
      </c>
      <c r="F109" s="5">
        <v>10001</v>
      </c>
      <c r="G109" s="5">
        <v>15000</v>
      </c>
      <c r="H109" s="5" t="s">
        <v>28</v>
      </c>
      <c r="I109" s="5" t="s">
        <v>7</v>
      </c>
      <c r="J109" s="6" t="s">
        <v>29</v>
      </c>
      <c r="L109" s="6"/>
    </row>
    <row r="110" spans="3:12" x14ac:dyDescent="0.25">
      <c r="C110" s="4"/>
      <c r="D110" s="4"/>
      <c r="H110" s="8">
        <f>H108-5000</f>
        <v>-10000</v>
      </c>
      <c r="I110" s="5">
        <f>IF(H110&gt;5000,5000,H110)</f>
        <v>-10000</v>
      </c>
      <c r="J110" s="6">
        <f>IF(I110&gt;0,I110*'National Rate Table'!E11,0)</f>
        <v>0</v>
      </c>
      <c r="L110" s="6"/>
    </row>
    <row r="111" spans="3:12" x14ac:dyDescent="0.25">
      <c r="C111" s="4"/>
      <c r="D111" s="4"/>
      <c r="E111" s="5" t="s">
        <v>15</v>
      </c>
      <c r="F111" s="5">
        <v>150000</v>
      </c>
      <c r="H111" s="5" t="s">
        <v>30</v>
      </c>
      <c r="I111" s="5" t="s">
        <v>7</v>
      </c>
      <c r="J111" s="6" t="s">
        <v>31</v>
      </c>
      <c r="L111" s="6"/>
    </row>
    <row r="112" spans="3:12" x14ac:dyDescent="0.25">
      <c r="C112" s="4"/>
      <c r="D112" s="4"/>
      <c r="H112" s="8">
        <f>H110-5000</f>
        <v>-15000</v>
      </c>
      <c r="I112" s="8">
        <f>H112</f>
        <v>-15000</v>
      </c>
      <c r="J112" s="6">
        <f>IF(I112&gt;0,I112*'National Rate Table'!E12,0)</f>
        <v>0</v>
      </c>
      <c r="L112" s="6"/>
    </row>
    <row r="113" spans="3:12" x14ac:dyDescent="0.25">
      <c r="C113" s="4"/>
      <c r="D113" s="9"/>
      <c r="E113" s="10"/>
      <c r="F113" s="10"/>
      <c r="G113" s="10"/>
      <c r="H113" s="11" t="s">
        <v>33</v>
      </c>
      <c r="I113" s="11">
        <f>SUM(I100:I112)</f>
        <v>-31150</v>
      </c>
      <c r="J113" s="12">
        <f>IF(D100&gt;0,(SUM(J100:J112)),0)</f>
        <v>0</v>
      </c>
      <c r="L113" s="6"/>
    </row>
    <row r="114" spans="3:12" x14ac:dyDescent="0.25">
      <c r="C114" s="4"/>
      <c r="H114" s="15"/>
      <c r="I114" s="15"/>
      <c r="J114" s="15"/>
      <c r="L114" s="6"/>
    </row>
    <row r="115" spans="3:12" x14ac:dyDescent="0.25">
      <c r="C115" s="4"/>
      <c r="H115" s="15"/>
      <c r="I115" s="15"/>
      <c r="J115" s="15"/>
      <c r="L115" s="6"/>
    </row>
    <row r="116" spans="3:12" x14ac:dyDescent="0.25">
      <c r="C116" s="4"/>
      <c r="D116" s="13" t="s">
        <v>75</v>
      </c>
      <c r="E116" s="2"/>
      <c r="F116" s="2"/>
      <c r="G116" s="2"/>
      <c r="H116" s="2"/>
      <c r="I116" s="2"/>
      <c r="J116" s="2"/>
      <c r="K116" s="3"/>
      <c r="L116" s="6"/>
    </row>
    <row r="117" spans="3:12" x14ac:dyDescent="0.25">
      <c r="C117" s="4"/>
      <c r="D117" s="4"/>
      <c r="F117" s="5" t="s">
        <v>62</v>
      </c>
      <c r="G117" s="5" t="s">
        <v>63</v>
      </c>
      <c r="K117" s="6"/>
      <c r="L117" s="6"/>
    </row>
    <row r="118" spans="3:12" x14ac:dyDescent="0.25">
      <c r="C118" s="4"/>
      <c r="D118" s="4" t="s">
        <v>0</v>
      </c>
      <c r="F118" s="5">
        <v>0</v>
      </c>
      <c r="G118" s="5">
        <v>49</v>
      </c>
      <c r="H118" s="5" t="s">
        <v>1</v>
      </c>
      <c r="I118" s="5" t="s">
        <v>32</v>
      </c>
      <c r="J118" s="5" t="s">
        <v>3</v>
      </c>
      <c r="K118" s="19" t="s">
        <v>76</v>
      </c>
      <c r="L118" s="6"/>
    </row>
    <row r="119" spans="3:12" x14ac:dyDescent="0.25">
      <c r="C119" s="4"/>
      <c r="D119" s="7">
        <f>IF('Knox &amp; Hamilton Rates'!T15&gt;'Knox &amp; Hamilton Rates'!T14,'Knox &amp; Hamilton Rates'!T14,'Knox &amp; Hamilton Rates'!T15)</f>
        <v>0</v>
      </c>
      <c r="H119" s="8">
        <f>ROUNDUP((D119/1000),0)</f>
        <v>0</v>
      </c>
      <c r="I119" s="5">
        <f>IF(H119&lt;50,H119,50)</f>
        <v>0</v>
      </c>
      <c r="J119" s="5">
        <f>IF(H119&gt;35,I119*'National Rate Table'!E6,0)</f>
        <v>0</v>
      </c>
      <c r="K119" s="6">
        <f>J119*1.2</f>
        <v>0</v>
      </c>
      <c r="L119" s="6"/>
    </row>
    <row r="120" spans="3:12" x14ac:dyDescent="0.25">
      <c r="C120" s="4"/>
      <c r="D120" s="4"/>
      <c r="E120" s="5" t="s">
        <v>23</v>
      </c>
      <c r="F120" s="5">
        <v>50</v>
      </c>
      <c r="G120" s="5">
        <v>100</v>
      </c>
      <c r="H120" s="5" t="s">
        <v>2</v>
      </c>
      <c r="I120" s="5" t="s">
        <v>7</v>
      </c>
      <c r="J120" s="5" t="s">
        <v>8</v>
      </c>
      <c r="K120" s="6"/>
      <c r="L120" s="6"/>
    </row>
    <row r="121" spans="3:12" x14ac:dyDescent="0.25">
      <c r="C121" s="4"/>
      <c r="D121" s="4"/>
      <c r="H121" s="8">
        <f>H119-50</f>
        <v>-50</v>
      </c>
      <c r="I121" s="8">
        <f>IF(H121&gt;50,50,H121)</f>
        <v>-50</v>
      </c>
      <c r="J121" s="5">
        <f>IF(I121&gt;0,I121*'National Rate Table'!E7,0)</f>
        <v>0</v>
      </c>
      <c r="K121" s="6">
        <f>J121*1.2</f>
        <v>0</v>
      </c>
      <c r="L121" s="6"/>
    </row>
    <row r="122" spans="3:12" x14ac:dyDescent="0.25">
      <c r="C122" s="4"/>
      <c r="D122" s="4"/>
      <c r="E122" s="5" t="s">
        <v>24</v>
      </c>
      <c r="F122" s="5">
        <v>101</v>
      </c>
      <c r="G122" s="5">
        <v>1000</v>
      </c>
      <c r="H122" s="5" t="s">
        <v>9</v>
      </c>
      <c r="I122" s="5" t="s">
        <v>7</v>
      </c>
      <c r="J122" s="5" t="s">
        <v>10</v>
      </c>
      <c r="K122" s="6"/>
      <c r="L122" s="6"/>
    </row>
    <row r="123" spans="3:12" x14ac:dyDescent="0.25">
      <c r="C123" s="4"/>
      <c r="D123" s="4"/>
      <c r="H123" s="8">
        <f>H121-50</f>
        <v>-100</v>
      </c>
      <c r="I123" s="5">
        <f>IF(H123&gt;900,900,H123)</f>
        <v>-100</v>
      </c>
      <c r="J123" s="5">
        <f>IF(I123&gt;0,I123*'National Rate Table'!E8,0)</f>
        <v>0</v>
      </c>
      <c r="K123" s="6">
        <f>J123*1.2</f>
        <v>0</v>
      </c>
      <c r="L123" s="6"/>
    </row>
    <row r="124" spans="3:12" x14ac:dyDescent="0.25">
      <c r="C124" s="4"/>
      <c r="D124" s="4"/>
      <c r="E124" s="5" t="s">
        <v>26</v>
      </c>
      <c r="F124" s="5">
        <v>1001</v>
      </c>
      <c r="G124" s="5">
        <v>5000</v>
      </c>
      <c r="H124" s="5" t="s">
        <v>16</v>
      </c>
      <c r="I124" s="5" t="s">
        <v>7</v>
      </c>
      <c r="J124" s="5" t="s">
        <v>21</v>
      </c>
      <c r="K124" s="6"/>
      <c r="L124" s="6"/>
    </row>
    <row r="125" spans="3:12" x14ac:dyDescent="0.25">
      <c r="C125" s="4"/>
      <c r="D125" s="4"/>
      <c r="H125" s="8">
        <f>H123-900</f>
        <v>-1000</v>
      </c>
      <c r="I125" s="5">
        <f>IF(H125&gt;4000,4000,H125)</f>
        <v>-1000</v>
      </c>
      <c r="J125" s="5">
        <f>IF(I125&gt;0,I125*'National Rate Table'!E9,0)</f>
        <v>0</v>
      </c>
      <c r="K125" s="6">
        <f>J125*1.2</f>
        <v>0</v>
      </c>
      <c r="L125" s="6"/>
    </row>
    <row r="126" spans="3:12" x14ac:dyDescent="0.25">
      <c r="C126" s="4"/>
      <c r="D126" s="4"/>
      <c r="E126" s="5" t="s">
        <v>25</v>
      </c>
      <c r="F126" s="5">
        <v>5001</v>
      </c>
      <c r="G126" s="5">
        <v>10000</v>
      </c>
      <c r="H126" s="5" t="s">
        <v>20</v>
      </c>
      <c r="I126" s="5" t="s">
        <v>7</v>
      </c>
      <c r="J126" s="5" t="s">
        <v>22</v>
      </c>
      <c r="K126" s="6"/>
      <c r="L126" s="6"/>
    </row>
    <row r="127" spans="3:12" x14ac:dyDescent="0.25">
      <c r="C127" s="4"/>
      <c r="D127" s="4"/>
      <c r="H127" s="8">
        <f>H125-4000</f>
        <v>-5000</v>
      </c>
      <c r="I127" s="5">
        <f>IF(H127&gt;5000,5000,H127)</f>
        <v>-5000</v>
      </c>
      <c r="J127" s="5">
        <f>IF(I127&gt;0,I127*'National Rate Table'!E10, 0)</f>
        <v>0</v>
      </c>
      <c r="K127" s="6">
        <f>J127*1.2</f>
        <v>0</v>
      </c>
      <c r="L127" s="6"/>
    </row>
    <row r="128" spans="3:12" x14ac:dyDescent="0.25">
      <c r="C128" s="4"/>
      <c r="D128" s="4"/>
      <c r="E128" s="5" t="s">
        <v>27</v>
      </c>
      <c r="F128" s="5">
        <v>10001</v>
      </c>
      <c r="G128" s="5">
        <v>15000</v>
      </c>
      <c r="H128" s="5" t="s">
        <v>28</v>
      </c>
      <c r="I128" s="5" t="s">
        <v>7</v>
      </c>
      <c r="J128" s="5" t="s">
        <v>29</v>
      </c>
      <c r="K128" s="6"/>
      <c r="L128" s="6"/>
    </row>
    <row r="129" spans="3:12" x14ac:dyDescent="0.25">
      <c r="C129" s="4"/>
      <c r="D129" s="4"/>
      <c r="H129" s="8">
        <f>H127-5000</f>
        <v>-10000</v>
      </c>
      <c r="I129" s="5">
        <f>IF(H129&gt;5000,5000,H129)</f>
        <v>-10000</v>
      </c>
      <c r="J129" s="5">
        <f>IF(I129&gt;0,I129*'National Rate Table'!E11,0)</f>
        <v>0</v>
      </c>
      <c r="K129" s="6">
        <f>J129*1.2</f>
        <v>0</v>
      </c>
      <c r="L129" s="6"/>
    </row>
    <row r="130" spans="3:12" x14ac:dyDescent="0.25">
      <c r="C130" s="4"/>
      <c r="D130" s="4"/>
      <c r="E130" s="5" t="s">
        <v>15</v>
      </c>
      <c r="F130" s="5">
        <v>15001</v>
      </c>
      <c r="H130" s="5" t="s">
        <v>30</v>
      </c>
      <c r="I130" s="5" t="s">
        <v>7</v>
      </c>
      <c r="J130" s="5" t="s">
        <v>31</v>
      </c>
      <c r="K130" s="6"/>
      <c r="L130" s="6"/>
    </row>
    <row r="131" spans="3:12" x14ac:dyDescent="0.25">
      <c r="C131" s="4"/>
      <c r="D131" s="4"/>
      <c r="H131" s="8">
        <f>H129-5000</f>
        <v>-15000</v>
      </c>
      <c r="I131" s="8">
        <f>H131</f>
        <v>-15000</v>
      </c>
      <c r="J131" s="5">
        <f>IF(I131&gt;0,I131*'National Rate Table'!E12,0)</f>
        <v>0</v>
      </c>
      <c r="K131" s="6">
        <f>J131*1.2</f>
        <v>0</v>
      </c>
      <c r="L131" s="6"/>
    </row>
    <row r="132" spans="3:12" x14ac:dyDescent="0.25">
      <c r="C132" s="4"/>
      <c r="D132" s="4"/>
      <c r="H132" s="15" t="s">
        <v>33</v>
      </c>
      <c r="I132" s="15">
        <f>SUM(I119:I131)</f>
        <v>-31150</v>
      </c>
      <c r="J132" s="15">
        <f>SUM(J119:J131)</f>
        <v>0</v>
      </c>
      <c r="K132" s="16">
        <f>SUM(K119:K131)</f>
        <v>0</v>
      </c>
      <c r="L132" s="6"/>
    </row>
    <row r="133" spans="3:12" x14ac:dyDescent="0.25">
      <c r="C133" s="4"/>
      <c r="D133" s="9"/>
      <c r="E133" s="10"/>
      <c r="F133" s="10"/>
      <c r="G133" s="10"/>
      <c r="H133" s="11" t="s">
        <v>74</v>
      </c>
      <c r="I133" s="10"/>
      <c r="J133" s="11">
        <f>J132*0.3</f>
        <v>0</v>
      </c>
      <c r="K133" s="12">
        <f>0.3*K132</f>
        <v>0</v>
      </c>
      <c r="L133" s="6"/>
    </row>
    <row r="134" spans="3:12" x14ac:dyDescent="0.25">
      <c r="C134" s="4"/>
      <c r="L134" s="6"/>
    </row>
    <row r="135" spans="3:12" x14ac:dyDescent="0.25">
      <c r="C135" s="9"/>
      <c r="D135" s="1" t="s">
        <v>84</v>
      </c>
      <c r="E135" s="2"/>
      <c r="F135" s="2"/>
      <c r="G135" s="2"/>
      <c r="H135" s="2"/>
      <c r="I135" s="2"/>
      <c r="J135" s="3"/>
      <c r="L135" s="20"/>
    </row>
    <row r="136" spans="3:12" x14ac:dyDescent="0.25">
      <c r="D136" s="4"/>
      <c r="F136" s="5" t="s">
        <v>62</v>
      </c>
      <c r="G136" s="5" t="s">
        <v>63</v>
      </c>
      <c r="J136" s="6"/>
    </row>
    <row r="137" spans="3:12" x14ac:dyDescent="0.25">
      <c r="D137" s="4" t="s">
        <v>0</v>
      </c>
      <c r="F137" s="5">
        <v>0</v>
      </c>
      <c r="G137" s="5">
        <v>49</v>
      </c>
      <c r="H137" s="5" t="s">
        <v>1</v>
      </c>
      <c r="I137" s="5" t="s">
        <v>32</v>
      </c>
      <c r="J137" s="6" t="s">
        <v>3</v>
      </c>
    </row>
    <row r="138" spans="3:12" x14ac:dyDescent="0.25">
      <c r="D138" s="7">
        <f>'Knox &amp; Hamilton Rates'!T17</f>
        <v>0</v>
      </c>
      <c r="H138" s="8">
        <f>ROUNDUP((D138/1000),0)</f>
        <v>0</v>
      </c>
      <c r="I138" s="8">
        <f>IF(H138&lt;50,H138,50)</f>
        <v>0</v>
      </c>
      <c r="J138" s="6">
        <f>IF(H138&gt;35,I138*'National Rate Table'!E6,150)</f>
        <v>150</v>
      </c>
    </row>
    <row r="139" spans="3:12" x14ac:dyDescent="0.25">
      <c r="D139" s="4"/>
      <c r="E139" s="5" t="s">
        <v>23</v>
      </c>
      <c r="F139" s="5">
        <v>50</v>
      </c>
      <c r="G139" s="5">
        <v>100</v>
      </c>
      <c r="H139" s="5" t="s">
        <v>2</v>
      </c>
      <c r="I139" s="5" t="s">
        <v>7</v>
      </c>
      <c r="J139" s="6" t="s">
        <v>8</v>
      </c>
    </row>
    <row r="140" spans="3:12" x14ac:dyDescent="0.25">
      <c r="D140" s="4"/>
      <c r="H140" s="8">
        <f>H138-50</f>
        <v>-50</v>
      </c>
      <c r="I140" s="8">
        <f>IF(H140&gt;50,50,H140)</f>
        <v>-50</v>
      </c>
      <c r="J140" s="6">
        <f>IF(I140&gt;0,I140*'National Rate Table'!E7,0)</f>
        <v>0</v>
      </c>
    </row>
    <row r="141" spans="3:12" x14ac:dyDescent="0.25">
      <c r="D141" s="4"/>
      <c r="E141" s="5" t="s">
        <v>24</v>
      </c>
      <c r="F141" s="5">
        <v>101</v>
      </c>
      <c r="G141" s="5">
        <v>1000</v>
      </c>
      <c r="H141" s="5" t="s">
        <v>9</v>
      </c>
      <c r="I141" s="5" t="s">
        <v>7</v>
      </c>
      <c r="J141" s="6" t="s">
        <v>10</v>
      </c>
    </row>
    <row r="142" spans="3:12" x14ac:dyDescent="0.25">
      <c r="D142" s="4" t="s">
        <v>53</v>
      </c>
      <c r="H142" s="8">
        <f>H140-50</f>
        <v>-100</v>
      </c>
      <c r="I142" s="5">
        <f>IF(H142&gt;900,900,H142)</f>
        <v>-100</v>
      </c>
      <c r="J142" s="6">
        <f>IF(I142&gt;0,I142*'National Rate Table'!E8,0)</f>
        <v>0</v>
      </c>
    </row>
    <row r="143" spans="3:12" x14ac:dyDescent="0.25">
      <c r="D143" s="4">
        <f>IF(J151&lt;150,150,J151)</f>
        <v>150</v>
      </c>
      <c r="E143" s="5" t="s">
        <v>26</v>
      </c>
      <c r="F143" s="5">
        <v>1001</v>
      </c>
      <c r="G143" s="5">
        <v>5000</v>
      </c>
      <c r="H143" s="5" t="s">
        <v>16</v>
      </c>
      <c r="I143" s="5" t="s">
        <v>7</v>
      </c>
      <c r="J143" s="6" t="s">
        <v>21</v>
      </c>
    </row>
    <row r="144" spans="3:12" x14ac:dyDescent="0.25">
      <c r="D144" s="4" t="s">
        <v>52</v>
      </c>
      <c r="H144" s="8">
        <f>H142-900</f>
        <v>-1000</v>
      </c>
      <c r="I144" s="5">
        <f>IF(H144&gt;4000,4000,H144)</f>
        <v>-1000</v>
      </c>
      <c r="J144" s="6">
        <f>IF(I144&gt;0,I144*'National Rate Table'!E9,0)</f>
        <v>0</v>
      </c>
    </row>
    <row r="145" spans="4:11" x14ac:dyDescent="0.25">
      <c r="D145" s="4">
        <f>IF(J151=0,0,D143*1.2)</f>
        <v>0</v>
      </c>
      <c r="E145" s="5" t="s">
        <v>25</v>
      </c>
      <c r="F145" s="5">
        <v>5001</v>
      </c>
      <c r="G145" s="5">
        <v>10000</v>
      </c>
      <c r="H145" s="5" t="s">
        <v>20</v>
      </c>
      <c r="I145" s="5" t="s">
        <v>7</v>
      </c>
      <c r="J145" s="6" t="s">
        <v>22</v>
      </c>
    </row>
    <row r="146" spans="4:11" x14ac:dyDescent="0.25">
      <c r="D146" s="4" t="s">
        <v>54</v>
      </c>
      <c r="H146" s="8">
        <f>H144-4000</f>
        <v>-5000</v>
      </c>
      <c r="I146" s="5">
        <f>IF(H146&gt;5000,5000,H146)</f>
        <v>-5000</v>
      </c>
      <c r="J146" s="6">
        <f>IF(I146&gt;0,I146*'National Rate Table'!E10, 0)</f>
        <v>0</v>
      </c>
    </row>
    <row r="147" spans="4:11" x14ac:dyDescent="0.25">
      <c r="D147" s="4">
        <f>D143*0.7</f>
        <v>105</v>
      </c>
      <c r="E147" s="5" t="s">
        <v>27</v>
      </c>
      <c r="F147" s="5">
        <v>10001</v>
      </c>
      <c r="G147" s="5">
        <v>15000</v>
      </c>
      <c r="H147" s="5" t="s">
        <v>28</v>
      </c>
      <c r="I147" s="5" t="s">
        <v>7</v>
      </c>
      <c r="J147" s="6" t="s">
        <v>29</v>
      </c>
    </row>
    <row r="148" spans="4:11" x14ac:dyDescent="0.25">
      <c r="D148" s="4"/>
      <c r="H148" s="8">
        <f>H146-5000</f>
        <v>-10000</v>
      </c>
      <c r="I148" s="5">
        <f>IF(H148&gt;5000,5000,H148)</f>
        <v>-10000</v>
      </c>
      <c r="J148" s="6">
        <f>IF(I148&gt;0,I148*'National Rate Table'!E11,0)</f>
        <v>0</v>
      </c>
    </row>
    <row r="149" spans="4:11" x14ac:dyDescent="0.25">
      <c r="D149" s="4"/>
      <c r="E149" s="5" t="s">
        <v>15</v>
      </c>
      <c r="F149" s="5">
        <v>150000</v>
      </c>
      <c r="H149" s="5" t="s">
        <v>30</v>
      </c>
      <c r="I149" s="5" t="s">
        <v>7</v>
      </c>
      <c r="J149" s="6" t="s">
        <v>31</v>
      </c>
    </row>
    <row r="150" spans="4:11" x14ac:dyDescent="0.25">
      <c r="D150" s="4"/>
      <c r="H150" s="8">
        <f>H148-5000</f>
        <v>-15000</v>
      </c>
      <c r="I150" s="8">
        <f>H150</f>
        <v>-15000</v>
      </c>
      <c r="J150" s="6">
        <f>IF(I150&gt;0,I150*'National Rate Table'!E12,0)</f>
        <v>0</v>
      </c>
    </row>
    <row r="151" spans="4:11" x14ac:dyDescent="0.25">
      <c r="D151" s="9"/>
      <c r="E151" s="10"/>
      <c r="F151" s="10"/>
      <c r="G151" s="10"/>
      <c r="H151" s="11" t="s">
        <v>33</v>
      </c>
      <c r="I151" s="11">
        <f>SUM(I138:I150)</f>
        <v>-31150</v>
      </c>
      <c r="J151" s="12">
        <f>IF(D138&gt;0,(SUM(J138:J150)*0.7),0)</f>
        <v>0</v>
      </c>
    </row>
    <row r="152" spans="4:11" x14ac:dyDescent="0.25">
      <c r="D152" s="10"/>
      <c r="E152" s="10"/>
      <c r="F152" s="10"/>
      <c r="G152" s="10"/>
      <c r="H152" s="10"/>
      <c r="I152" s="10"/>
      <c r="J152" s="10"/>
      <c r="K152" s="10"/>
    </row>
  </sheetData>
  <mergeCells count="14">
    <mergeCell ref="G76:H76"/>
    <mergeCell ref="G77:H77"/>
    <mergeCell ref="G75:H75"/>
    <mergeCell ref="G10:H10"/>
    <mergeCell ref="D6:E6"/>
    <mergeCell ref="G6:I6"/>
    <mergeCell ref="G7:H7"/>
    <mergeCell ref="G8:H8"/>
    <mergeCell ref="G9:H9"/>
    <mergeCell ref="B2:Q2"/>
    <mergeCell ref="B3:Q3"/>
    <mergeCell ref="D73:E73"/>
    <mergeCell ref="G73:I73"/>
    <mergeCell ref="G74:H74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4"/>
  <sheetViews>
    <sheetView workbookViewId="0">
      <selection activeCell="B3" sqref="B3:F3"/>
    </sheetView>
  </sheetViews>
  <sheetFormatPr defaultColWidth="0" defaultRowHeight="15.75" zeroHeight="1" x14ac:dyDescent="0.25"/>
  <cols>
    <col min="1" max="2" width="1.125" customWidth="1"/>
    <col min="3" max="3" width="18.375" bestFit="1" customWidth="1"/>
    <col min="4" max="5" width="10.875" customWidth="1"/>
    <col min="6" max="7" width="1.125" customWidth="1"/>
    <col min="8" max="16384" width="10.875" hidden="1"/>
  </cols>
  <sheetData>
    <row r="1" spans="2:6" ht="6.95" customHeight="1" x14ac:dyDescent="0.25"/>
    <row r="2" spans="2:6" x14ac:dyDescent="0.25">
      <c r="B2" s="360" t="s">
        <v>109</v>
      </c>
      <c r="C2" s="361"/>
      <c r="D2" s="361"/>
      <c r="E2" s="361"/>
      <c r="F2" s="362"/>
    </row>
    <row r="3" spans="2:6" x14ac:dyDescent="0.25">
      <c r="B3" s="363" t="s">
        <v>127</v>
      </c>
      <c r="C3" s="364"/>
      <c r="D3" s="364"/>
      <c r="E3" s="364"/>
      <c r="F3" s="365"/>
    </row>
    <row r="4" spans="2:6" ht="6.95" customHeight="1" x14ac:dyDescent="0.25">
      <c r="B4" s="4"/>
      <c r="C4" s="5"/>
      <c r="D4" s="5"/>
      <c r="E4" s="5"/>
      <c r="F4" s="6"/>
    </row>
    <row r="5" spans="2:6" x14ac:dyDescent="0.25">
      <c r="B5" s="4"/>
      <c r="C5" s="161" t="s">
        <v>4</v>
      </c>
      <c r="D5" s="162" t="s">
        <v>18</v>
      </c>
      <c r="E5" s="163" t="s">
        <v>17</v>
      </c>
      <c r="F5" s="6"/>
    </row>
    <row r="6" spans="2:6" x14ac:dyDescent="0.25">
      <c r="B6" s="4"/>
      <c r="C6" s="164" t="s">
        <v>34</v>
      </c>
      <c r="D6" s="165" t="s">
        <v>19</v>
      </c>
      <c r="E6" s="166">
        <v>200</v>
      </c>
      <c r="F6" s="6"/>
    </row>
    <row r="7" spans="2:6" x14ac:dyDescent="0.25">
      <c r="B7" s="4"/>
      <c r="C7" s="4" t="s">
        <v>46</v>
      </c>
      <c r="D7" s="5">
        <v>1</v>
      </c>
      <c r="E7" s="6">
        <v>6</v>
      </c>
      <c r="F7" s="6"/>
    </row>
    <row r="8" spans="2:6" x14ac:dyDescent="0.25">
      <c r="B8" s="4"/>
      <c r="C8" s="4" t="s">
        <v>47</v>
      </c>
      <c r="D8" s="5">
        <v>2</v>
      </c>
      <c r="E8" s="6">
        <v>3</v>
      </c>
      <c r="F8" s="6"/>
    </row>
    <row r="9" spans="2:6" x14ac:dyDescent="0.25">
      <c r="B9" s="4"/>
      <c r="C9" s="4" t="s">
        <v>49</v>
      </c>
      <c r="D9" s="5">
        <v>3</v>
      </c>
      <c r="E9" s="6">
        <v>2</v>
      </c>
      <c r="F9" s="6"/>
    </row>
    <row r="10" spans="2:6" x14ac:dyDescent="0.25">
      <c r="B10" s="4"/>
      <c r="C10" s="4" t="s">
        <v>38</v>
      </c>
      <c r="D10" s="5">
        <v>4</v>
      </c>
      <c r="E10" s="6">
        <v>1.5</v>
      </c>
      <c r="F10" s="6"/>
    </row>
    <row r="11" spans="2:6" x14ac:dyDescent="0.25">
      <c r="B11" s="4"/>
      <c r="C11" s="4" t="s">
        <v>39</v>
      </c>
      <c r="D11" s="5">
        <v>5</v>
      </c>
      <c r="E11" s="6">
        <v>1.25</v>
      </c>
      <c r="F11" s="6"/>
    </row>
    <row r="12" spans="2:6" x14ac:dyDescent="0.25">
      <c r="B12" s="4"/>
      <c r="C12" s="9" t="s">
        <v>15</v>
      </c>
      <c r="D12" s="10">
        <v>6</v>
      </c>
      <c r="E12" s="20">
        <v>1</v>
      </c>
      <c r="F12" s="6"/>
    </row>
    <row r="13" spans="2:6" ht="6.95" customHeight="1" x14ac:dyDescent="0.25">
      <c r="B13" s="9"/>
      <c r="C13" s="10"/>
      <c r="D13" s="10"/>
      <c r="E13" s="10"/>
      <c r="F13" s="20"/>
    </row>
    <row r="14" spans="2:6" ht="6.95" customHeight="1" x14ac:dyDescent="0.25"/>
  </sheetData>
  <mergeCells count="2">
    <mergeCell ref="B2:F2"/>
    <mergeCell ref="B3:F3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2"/>
  <sheetViews>
    <sheetView showGridLines="0" showRowColHeaders="0" tabSelected="1" zoomScale="86" zoomScaleNormal="86" zoomScalePageLayoutView="85" workbookViewId="0">
      <selection activeCell="F18" sqref="F18:F19"/>
    </sheetView>
  </sheetViews>
  <sheetFormatPr defaultColWidth="10.875" defaultRowHeight="15.75" x14ac:dyDescent="0.25"/>
  <cols>
    <col min="1" max="1" width="66.875" style="87" customWidth="1"/>
    <col min="2" max="4" width="1.125" style="87" customWidth="1"/>
    <col min="5" max="5" width="8.375" style="87" customWidth="1"/>
    <col min="6" max="6" width="21" style="87" customWidth="1"/>
    <col min="7" max="7" width="6" style="87" customWidth="1"/>
    <col min="8" max="8" width="21" style="97" customWidth="1"/>
    <col min="9" max="9" width="8.375" style="87" customWidth="1"/>
    <col min="10" max="12" width="1.125" style="87" customWidth="1"/>
    <col min="13" max="16384" width="10.875" style="87"/>
  </cols>
  <sheetData>
    <row r="1" spans="1:12" x14ac:dyDescent="0.25">
      <c r="A1" s="177"/>
    </row>
    <row r="2" spans="1:12" ht="6.95" customHeight="1" x14ac:dyDescent="0.25">
      <c r="B2" s="134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x14ac:dyDescent="0.25">
      <c r="B3" s="122"/>
      <c r="C3" s="276"/>
      <c r="D3" s="277"/>
      <c r="E3" s="277"/>
      <c r="F3" s="277"/>
      <c r="G3" s="277"/>
      <c r="H3" s="277"/>
      <c r="I3" s="277"/>
      <c r="J3" s="277"/>
      <c r="K3" s="278"/>
      <c r="L3" s="122"/>
    </row>
    <row r="4" spans="1:12" ht="147" customHeight="1" x14ac:dyDescent="0.25">
      <c r="B4" s="103"/>
      <c r="C4" s="123"/>
      <c r="D4" s="124"/>
      <c r="E4" s="124"/>
      <c r="F4" s="124"/>
      <c r="G4" s="124"/>
      <c r="H4" s="125"/>
      <c r="I4" s="124"/>
      <c r="J4" s="124"/>
      <c r="K4" s="126"/>
      <c r="L4" s="103"/>
    </row>
    <row r="5" spans="1:12" ht="18.75" x14ac:dyDescent="0.3">
      <c r="B5" s="103"/>
      <c r="C5" s="123"/>
      <c r="D5" s="124"/>
      <c r="E5" s="385" t="s">
        <v>172</v>
      </c>
      <c r="F5" s="385"/>
      <c r="G5" s="385"/>
      <c r="H5" s="385"/>
      <c r="I5" s="385"/>
      <c r="J5" s="124"/>
      <c r="K5" s="126"/>
      <c r="L5" s="103"/>
    </row>
    <row r="6" spans="1:12" ht="6" customHeight="1" x14ac:dyDescent="0.25">
      <c r="B6" s="103"/>
      <c r="C6" s="123"/>
      <c r="D6" s="124"/>
      <c r="E6" s="383"/>
      <c r="F6" s="383"/>
      <c r="G6" s="383"/>
      <c r="H6" s="383"/>
      <c r="I6" s="383"/>
      <c r="J6" s="124"/>
      <c r="K6" s="126"/>
      <c r="L6" s="103"/>
    </row>
    <row r="7" spans="1:12" ht="6" customHeight="1" x14ac:dyDescent="0.25">
      <c r="B7" s="103"/>
      <c r="C7" s="123"/>
      <c r="D7" s="124"/>
      <c r="E7" s="383"/>
      <c r="F7" s="383"/>
      <c r="G7" s="383"/>
      <c r="H7" s="383"/>
      <c r="I7" s="383"/>
      <c r="J7" s="124"/>
      <c r="K7" s="126"/>
      <c r="L7" s="103"/>
    </row>
    <row r="8" spans="1:12" x14ac:dyDescent="0.25">
      <c r="B8" s="103"/>
      <c r="C8" s="123"/>
      <c r="D8" s="124"/>
      <c r="E8" s="381" t="s">
        <v>171</v>
      </c>
      <c r="F8" s="381"/>
      <c r="G8" s="381"/>
      <c r="H8" s="384" t="s">
        <v>173</v>
      </c>
      <c r="I8" s="384"/>
      <c r="J8" s="124"/>
      <c r="K8" s="126"/>
      <c r="L8" s="103"/>
    </row>
    <row r="9" spans="1:12" x14ac:dyDescent="0.25">
      <c r="B9" s="103"/>
      <c r="C9" s="123"/>
      <c r="D9" s="124"/>
      <c r="E9" s="382" t="s">
        <v>169</v>
      </c>
      <c r="F9" s="382"/>
      <c r="G9" s="381"/>
      <c r="H9" s="384" t="s">
        <v>174</v>
      </c>
      <c r="I9" s="384"/>
      <c r="J9" s="124"/>
      <c r="K9" s="126"/>
      <c r="L9" s="103"/>
    </row>
    <row r="10" spans="1:12" x14ac:dyDescent="0.25">
      <c r="B10" s="103"/>
      <c r="C10" s="123"/>
      <c r="D10" s="124"/>
      <c r="E10" s="382" t="s">
        <v>170</v>
      </c>
      <c r="F10" s="382"/>
      <c r="G10" s="381"/>
      <c r="H10" s="384" t="s">
        <v>175</v>
      </c>
      <c r="I10" s="384"/>
      <c r="J10" s="124"/>
      <c r="K10" s="126"/>
      <c r="L10" s="103"/>
    </row>
    <row r="11" spans="1:12" x14ac:dyDescent="0.25">
      <c r="B11" s="103"/>
      <c r="C11" s="123"/>
      <c r="D11" s="124"/>
      <c r="E11" s="381" t="s">
        <v>161</v>
      </c>
      <c r="F11" s="381"/>
      <c r="G11" s="381"/>
      <c r="H11" s="384" t="s">
        <v>176</v>
      </c>
      <c r="I11" s="384"/>
      <c r="J11" s="124"/>
      <c r="K11" s="126"/>
      <c r="L11" s="103"/>
    </row>
    <row r="12" spans="1:12" ht="6.95" customHeight="1" x14ac:dyDescent="0.25">
      <c r="B12" s="103"/>
      <c r="C12" s="123"/>
      <c r="D12" s="124"/>
      <c r="E12" s="124"/>
      <c r="F12" s="124"/>
      <c r="G12" s="124"/>
      <c r="H12" s="125"/>
      <c r="I12" s="124"/>
      <c r="J12" s="124"/>
      <c r="K12" s="126"/>
      <c r="L12" s="103"/>
    </row>
    <row r="13" spans="1:12" s="89" customFormat="1" ht="21.95" customHeight="1" x14ac:dyDescent="0.25">
      <c r="B13" s="105"/>
      <c r="C13" s="127"/>
      <c r="D13" s="282" t="s">
        <v>92</v>
      </c>
      <c r="E13" s="283"/>
      <c r="F13" s="283"/>
      <c r="G13" s="283"/>
      <c r="H13" s="283"/>
      <c r="I13" s="283"/>
      <c r="J13" s="284"/>
      <c r="K13" s="129"/>
      <c r="L13" s="105"/>
    </row>
    <row r="14" spans="1:12" s="89" customFormat="1" ht="21.95" customHeight="1" x14ac:dyDescent="0.25">
      <c r="B14" s="105"/>
      <c r="C14" s="127"/>
      <c r="D14" s="279" t="s">
        <v>95</v>
      </c>
      <c r="E14" s="280"/>
      <c r="F14" s="280"/>
      <c r="G14" s="280"/>
      <c r="H14" s="280"/>
      <c r="I14" s="280"/>
      <c r="J14" s="281"/>
      <c r="K14" s="129"/>
      <c r="L14" s="105"/>
    </row>
    <row r="15" spans="1:12" ht="6.95" customHeight="1" x14ac:dyDescent="0.25">
      <c r="B15" s="103"/>
      <c r="C15" s="123"/>
      <c r="D15" s="106"/>
      <c r="E15" s="107"/>
      <c r="F15" s="107"/>
      <c r="G15" s="107"/>
      <c r="H15" s="108"/>
      <c r="I15" s="107"/>
      <c r="J15" s="109"/>
      <c r="K15" s="126"/>
      <c r="L15" s="103"/>
    </row>
    <row r="16" spans="1:12" ht="18.75" x14ac:dyDescent="0.3">
      <c r="B16" s="103"/>
      <c r="C16" s="123"/>
      <c r="D16" s="106"/>
      <c r="E16" s="287" t="s">
        <v>121</v>
      </c>
      <c r="F16" s="288"/>
      <c r="G16" s="288"/>
      <c r="H16" s="288"/>
      <c r="I16" s="289"/>
      <c r="J16" s="109"/>
      <c r="K16" s="126"/>
      <c r="L16" s="103"/>
    </row>
    <row r="17" spans="2:12" ht="16.5" thickBot="1" x14ac:dyDescent="0.3">
      <c r="B17" s="103"/>
      <c r="C17" s="123"/>
      <c r="D17" s="106"/>
      <c r="E17" s="110"/>
      <c r="F17" s="111"/>
      <c r="G17" s="111"/>
      <c r="H17" s="112"/>
      <c r="I17" s="113"/>
      <c r="J17" s="109"/>
      <c r="K17" s="126"/>
      <c r="L17" s="103"/>
    </row>
    <row r="18" spans="2:12" ht="26.1" customHeight="1" x14ac:dyDescent="0.25">
      <c r="B18" s="103"/>
      <c r="C18" s="123"/>
      <c r="D18" s="106"/>
      <c r="E18" s="110"/>
      <c r="F18" s="285" t="s">
        <v>159</v>
      </c>
      <c r="G18" s="111"/>
      <c r="H18" s="285" t="s">
        <v>134</v>
      </c>
      <c r="I18" s="113"/>
      <c r="J18" s="109"/>
      <c r="K18" s="126"/>
      <c r="L18" s="103"/>
    </row>
    <row r="19" spans="2:12" ht="24" customHeight="1" thickBot="1" x14ac:dyDescent="0.3">
      <c r="B19" s="103"/>
      <c r="C19" s="123"/>
      <c r="D19" s="106"/>
      <c r="E19" s="110"/>
      <c r="F19" s="286"/>
      <c r="G19" s="111"/>
      <c r="H19" s="286"/>
      <c r="I19" s="113"/>
      <c r="J19" s="109"/>
      <c r="K19" s="126"/>
      <c r="L19" s="103"/>
    </row>
    <row r="20" spans="2:12" ht="21.95" customHeight="1" thickBot="1" x14ac:dyDescent="0.3">
      <c r="B20" s="103"/>
      <c r="C20" s="123"/>
      <c r="D20" s="106"/>
      <c r="E20" s="110"/>
      <c r="F20" s="111"/>
      <c r="G20" s="111"/>
      <c r="H20" s="112"/>
      <c r="I20" s="113"/>
      <c r="J20" s="109"/>
      <c r="K20" s="126"/>
      <c r="L20" s="103"/>
    </row>
    <row r="21" spans="2:12" ht="26.1" customHeight="1" x14ac:dyDescent="0.25">
      <c r="B21" s="103"/>
      <c r="C21" s="123"/>
      <c r="D21" s="106"/>
      <c r="E21" s="110"/>
      <c r="F21" s="290" t="s">
        <v>113</v>
      </c>
      <c r="G21" s="111"/>
      <c r="H21" s="285" t="s">
        <v>114</v>
      </c>
      <c r="I21" s="113"/>
      <c r="J21" s="109"/>
      <c r="K21" s="126"/>
      <c r="L21" s="103"/>
    </row>
    <row r="22" spans="2:12" ht="24" customHeight="1" thickBot="1" x14ac:dyDescent="0.3">
      <c r="B22" s="103"/>
      <c r="C22" s="123"/>
      <c r="D22" s="106"/>
      <c r="E22" s="110"/>
      <c r="F22" s="291"/>
      <c r="G22" s="111"/>
      <c r="H22" s="286"/>
      <c r="I22" s="113"/>
      <c r="J22" s="109"/>
      <c r="K22" s="126"/>
      <c r="L22" s="103"/>
    </row>
    <row r="23" spans="2:12" x14ac:dyDescent="0.25">
      <c r="B23" s="103"/>
      <c r="C23" s="123"/>
      <c r="D23" s="106"/>
      <c r="E23" s="114"/>
      <c r="F23" s="115"/>
      <c r="G23" s="115"/>
      <c r="H23" s="116"/>
      <c r="I23" s="117"/>
      <c r="J23" s="109"/>
      <c r="K23" s="126"/>
      <c r="L23" s="103"/>
    </row>
    <row r="24" spans="2:12" ht="6.95" customHeight="1" x14ac:dyDescent="0.25">
      <c r="B24" s="103"/>
      <c r="C24" s="123"/>
      <c r="D24" s="118"/>
      <c r="E24" s="119"/>
      <c r="F24" s="119"/>
      <c r="G24" s="119"/>
      <c r="H24" s="120"/>
      <c r="I24" s="119"/>
      <c r="J24" s="121"/>
      <c r="K24" s="126"/>
      <c r="L24" s="103"/>
    </row>
    <row r="25" spans="2:12" ht="6.95" customHeight="1" x14ac:dyDescent="0.25">
      <c r="B25" s="103"/>
      <c r="C25" s="128"/>
      <c r="D25" s="136"/>
      <c r="E25" s="136"/>
      <c r="F25" s="136"/>
      <c r="G25" s="136"/>
      <c r="H25" s="137"/>
      <c r="I25" s="136"/>
      <c r="J25" s="136"/>
      <c r="K25" s="130"/>
      <c r="L25" s="103"/>
    </row>
    <row r="26" spans="2:12" ht="6.95" customHeight="1" x14ac:dyDescent="0.25">
      <c r="B26" s="103"/>
      <c r="C26" s="124"/>
      <c r="D26" s="124"/>
      <c r="E26" s="124"/>
      <c r="F26" s="124"/>
      <c r="G26" s="124"/>
      <c r="H26" s="125"/>
      <c r="I26" s="124"/>
      <c r="J26" s="124"/>
      <c r="K26" s="124"/>
      <c r="L26" s="103"/>
    </row>
    <row r="27" spans="2:12" ht="6.95" customHeight="1" x14ac:dyDescent="0.25">
      <c r="B27" s="103"/>
      <c r="C27" s="103"/>
      <c r="D27" s="103"/>
      <c r="E27" s="103"/>
      <c r="F27" s="103"/>
      <c r="G27" s="103"/>
      <c r="H27" s="104"/>
      <c r="I27" s="103"/>
      <c r="J27" s="103"/>
      <c r="K27" s="103"/>
      <c r="L27" s="103"/>
    </row>
    <row r="28" spans="2:12" ht="15.75" customHeight="1" x14ac:dyDescent="0.25">
      <c r="B28" s="293" t="s">
        <v>145</v>
      </c>
      <c r="C28" s="293"/>
      <c r="D28" s="293"/>
      <c r="E28" s="293"/>
      <c r="F28" s="293"/>
      <c r="G28" s="293"/>
      <c r="H28" s="292" t="s">
        <v>149</v>
      </c>
      <c r="I28" s="292"/>
      <c r="J28" s="292"/>
      <c r="K28" s="292"/>
      <c r="L28" s="292"/>
    </row>
    <row r="29" spans="2:12" ht="60.75" customHeight="1" x14ac:dyDescent="0.25">
      <c r="B29" s="293"/>
      <c r="C29" s="293"/>
      <c r="D29" s="293"/>
      <c r="E29" s="293"/>
      <c r="F29" s="293"/>
      <c r="G29" s="293"/>
      <c r="H29" s="176"/>
    </row>
    <row r="30" spans="2:12" x14ac:dyDescent="0.25">
      <c r="F30" s="176"/>
      <c r="G30" s="176"/>
      <c r="H30" s="176"/>
    </row>
    <row r="31" spans="2:12" ht="5.0999999999999996" customHeight="1" x14ac:dyDescent="0.25">
      <c r="F31" s="176"/>
      <c r="G31" s="176"/>
      <c r="H31" s="176"/>
    </row>
    <row r="32" spans="2:12" x14ac:dyDescent="0.25">
      <c r="F32" s="275"/>
      <c r="G32" s="275"/>
      <c r="H32" s="275"/>
    </row>
  </sheetData>
  <sheetProtection algorithmName="SHA-512" hashValue="CkvzecctdDXOOpAm+2aqlP087pM1GfmwYlR14Yqpf6ASw9FZdu8wLjuvAnmsrZg0tNSk3NTRqVEq3uENz34emw==" saltValue="R80y0uOxgOFOAPFlZeREzQ==" spinCount="100000" sheet="1" objects="1" scenarios="1" selectLockedCells="1"/>
  <mergeCells count="18">
    <mergeCell ref="H10:I10"/>
    <mergeCell ref="H11:I11"/>
    <mergeCell ref="H8:I8"/>
    <mergeCell ref="H9:I9"/>
    <mergeCell ref="F32:H32"/>
    <mergeCell ref="C3:K3"/>
    <mergeCell ref="D14:J14"/>
    <mergeCell ref="D13:J13"/>
    <mergeCell ref="F18:F19"/>
    <mergeCell ref="E16:I16"/>
    <mergeCell ref="H18:H19"/>
    <mergeCell ref="F21:F22"/>
    <mergeCell ref="H21:H22"/>
    <mergeCell ref="E5:I5"/>
    <mergeCell ref="H28:L28"/>
    <mergeCell ref="B28:G29"/>
    <mergeCell ref="E9:F9"/>
    <mergeCell ref="E10:F10"/>
  </mergeCells>
  <phoneticPr fontId="19" type="noConversion"/>
  <hyperlinks>
    <hyperlink ref="H18" location="'D, R &amp; W Rates'!A1" display="Davidson, Rutherford &amp; Williamson Counties"/>
    <hyperlink ref="F21" location="'Shelby Rates'!A1" display="Shelby County"/>
    <hyperlink ref="H21" location="'Knox &amp; Hamilton Rates'!A1" display="Knox &amp; Hamilton Counties"/>
    <hyperlink ref="F18" location="'National Rates'!A1" display="National Risk Rate      (All Other Counties)"/>
    <hyperlink ref="B28" r:id="rId1"/>
    <hyperlink ref="H18:H19" location="'D, M, R &amp; W Rates'!A1" display="Davidson, Montgomery, Rutherford &amp; Williamson Counties"/>
  </hyperlinks>
  <pageMargins left="0.75" right="0.75" top="1" bottom="1" header="0.5" footer="0.5"/>
  <pageSetup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Z60"/>
  <sheetViews>
    <sheetView showGridLines="0" showRowColHeaders="0" topLeftCell="A7" zoomScale="78" zoomScaleNormal="78" zoomScalePageLayoutView="78" workbookViewId="0">
      <selection activeCell="I30" sqref="I30"/>
    </sheetView>
  </sheetViews>
  <sheetFormatPr defaultColWidth="10.875" defaultRowHeight="15.75" x14ac:dyDescent="0.25"/>
  <cols>
    <col min="1" max="1" width="1" style="87" customWidth="1"/>
    <col min="2" max="5" width="1.125" style="87" customWidth="1"/>
    <col min="6" max="6" width="29.125" style="87" customWidth="1"/>
    <col min="7" max="7" width="14.125" style="88" bestFit="1" customWidth="1"/>
    <col min="8" max="8" width="1.125" style="88" customWidth="1"/>
    <col min="9" max="9" width="17.125" style="87" customWidth="1"/>
    <col min="10" max="10" width="17.875" style="87" customWidth="1"/>
    <col min="11" max="11" width="12" style="87" bestFit="1" customWidth="1"/>
    <col min="12" max="13" width="1.125" style="87" customWidth="1"/>
    <col min="14" max="14" width="1.875" style="87" customWidth="1"/>
    <col min="15" max="16" width="1.125" style="87" customWidth="1"/>
    <col min="17" max="17" width="32.375" style="87" customWidth="1"/>
    <col min="18" max="18" width="12.5" style="87" bestFit="1" customWidth="1"/>
    <col min="19" max="19" width="1.125" style="87" customWidth="1"/>
    <col min="20" max="20" width="15.5" style="87" customWidth="1"/>
    <col min="21" max="21" width="16.375" style="87" customWidth="1"/>
    <col min="22" max="22" width="12" style="87" bestFit="1" customWidth="1"/>
    <col min="23" max="23" width="1.125" style="87" customWidth="1"/>
    <col min="24" max="24" width="1.875" style="87" customWidth="1"/>
    <col min="25" max="26" width="1.125" style="87" customWidth="1"/>
    <col min="27" max="27" width="2" style="87" customWidth="1"/>
    <col min="28" max="16384" width="10.875" style="87"/>
  </cols>
  <sheetData>
    <row r="1" spans="2:26" ht="6.95" customHeight="1" x14ac:dyDescent="0.25"/>
    <row r="2" spans="2:26" x14ac:dyDescent="0.25">
      <c r="F2" s="99" t="s">
        <v>96</v>
      </c>
    </row>
    <row r="3" spans="2:26" ht="6.95" customHeight="1" x14ac:dyDescent="0.25"/>
    <row r="4" spans="2:26" ht="6.95" customHeight="1" x14ac:dyDescent="0.25">
      <c r="B4" s="23"/>
      <c r="C4" s="23"/>
      <c r="D4" s="23"/>
      <c r="E4" s="23"/>
      <c r="F4" s="23"/>
      <c r="G4" s="77"/>
      <c r="H4" s="77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2:26" ht="6.95" customHeight="1" x14ac:dyDescent="0.25">
      <c r="B5" s="23"/>
      <c r="C5" s="305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7"/>
      <c r="Z5" s="23"/>
    </row>
    <row r="6" spans="2:26" s="89" customFormat="1" ht="24.95" customHeight="1" x14ac:dyDescent="0.25">
      <c r="B6" s="70"/>
      <c r="C6" s="329" t="s">
        <v>93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1"/>
      <c r="Z6" s="70"/>
    </row>
    <row r="7" spans="2:26" s="89" customFormat="1" ht="21.95" customHeight="1" x14ac:dyDescent="0.25">
      <c r="B7" s="70"/>
      <c r="C7" s="335" t="s">
        <v>92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7"/>
      <c r="Z7" s="70"/>
    </row>
    <row r="8" spans="2:26" s="89" customFormat="1" ht="21.95" customHeight="1" x14ac:dyDescent="0.25">
      <c r="B8" s="70"/>
      <c r="C8" s="332" t="s">
        <v>132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4"/>
      <c r="Z8" s="70"/>
    </row>
    <row r="9" spans="2:26" s="89" customFormat="1" ht="20.25" customHeight="1" x14ac:dyDescent="0.25">
      <c r="B9" s="70"/>
      <c r="C9" s="338" t="s">
        <v>135</v>
      </c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40"/>
      <c r="Z9" s="70"/>
    </row>
    <row r="10" spans="2:26" ht="9.9499999999999993" customHeight="1" x14ac:dyDescent="0.25">
      <c r="B10" s="23"/>
      <c r="C10" s="71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75"/>
      <c r="Z10" s="23"/>
    </row>
    <row r="11" spans="2:26" ht="20.100000000000001" customHeight="1" x14ac:dyDescent="0.25">
      <c r="B11" s="23"/>
      <c r="C11" s="71"/>
      <c r="D11" s="326" t="s">
        <v>133</v>
      </c>
      <c r="E11" s="327"/>
      <c r="F11" s="327"/>
      <c r="G11" s="327"/>
      <c r="H11" s="327"/>
      <c r="I11" s="327"/>
      <c r="J11" s="327"/>
      <c r="K11" s="327"/>
      <c r="L11" s="327"/>
      <c r="M11" s="328"/>
      <c r="N11" s="24"/>
      <c r="O11" s="326" t="s">
        <v>146</v>
      </c>
      <c r="P11" s="327"/>
      <c r="Q11" s="327"/>
      <c r="R11" s="327"/>
      <c r="S11" s="327"/>
      <c r="T11" s="327"/>
      <c r="U11" s="327"/>
      <c r="V11" s="327"/>
      <c r="W11" s="327"/>
      <c r="X11" s="328"/>
      <c r="Y11" s="75"/>
      <c r="Z11" s="23"/>
    </row>
    <row r="12" spans="2:26" ht="9.9499999999999993" customHeight="1" thickBot="1" x14ac:dyDescent="0.3">
      <c r="B12" s="23"/>
      <c r="C12" s="71"/>
      <c r="D12" s="26"/>
      <c r="E12" s="27"/>
      <c r="F12" s="27"/>
      <c r="G12" s="28"/>
      <c r="H12" s="28"/>
      <c r="I12" s="27"/>
      <c r="J12" s="27"/>
      <c r="K12" s="27"/>
      <c r="L12" s="27"/>
      <c r="M12" s="29"/>
      <c r="N12" s="24"/>
      <c r="O12" s="26"/>
      <c r="P12" s="27"/>
      <c r="Q12" s="27"/>
      <c r="R12" s="27"/>
      <c r="S12" s="27"/>
      <c r="T12" s="27"/>
      <c r="U12" s="27"/>
      <c r="V12" s="27"/>
      <c r="W12" s="27"/>
      <c r="X12" s="29"/>
      <c r="Y12" s="75"/>
      <c r="Z12" s="23"/>
    </row>
    <row r="13" spans="2:26" ht="16.5" thickBot="1" x14ac:dyDescent="0.3">
      <c r="B13" s="23"/>
      <c r="C13" s="71"/>
      <c r="D13" s="342" t="s">
        <v>152</v>
      </c>
      <c r="E13" s="343"/>
      <c r="F13" s="343"/>
      <c r="G13" s="343"/>
      <c r="H13" s="211"/>
      <c r="I13" s="94">
        <v>0</v>
      </c>
      <c r="J13" s="31"/>
      <c r="K13" s="27"/>
      <c r="L13" s="27"/>
      <c r="M13" s="29"/>
      <c r="N13" s="24"/>
      <c r="O13" s="26"/>
      <c r="P13" s="27"/>
      <c r="Q13" s="27"/>
      <c r="R13" s="189" t="s">
        <v>157</v>
      </c>
      <c r="S13" s="27"/>
      <c r="T13" s="206">
        <v>0</v>
      </c>
      <c r="U13" s="27"/>
      <c r="V13" s="27"/>
      <c r="W13" s="27"/>
      <c r="X13" s="29"/>
      <c r="Y13" s="75"/>
      <c r="Z13" s="23"/>
    </row>
    <row r="14" spans="2:26" ht="16.5" thickBot="1" x14ac:dyDescent="0.3">
      <c r="B14" s="23"/>
      <c r="C14" s="71"/>
      <c r="D14" s="33"/>
      <c r="E14" s="34"/>
      <c r="F14" s="34"/>
      <c r="G14" s="34"/>
      <c r="H14" s="34"/>
      <c r="I14" s="92"/>
      <c r="J14" s="32"/>
      <c r="K14" s="27"/>
      <c r="L14" s="27"/>
      <c r="M14" s="29"/>
      <c r="N14" s="24"/>
      <c r="O14" s="26"/>
      <c r="P14" s="27"/>
      <c r="Q14" s="352"/>
      <c r="R14" s="352"/>
      <c r="S14" s="173"/>
      <c r="T14" s="174"/>
      <c r="U14" s="173"/>
      <c r="V14" s="27"/>
      <c r="W14" s="27"/>
      <c r="X14" s="29"/>
      <c r="Y14" s="75"/>
      <c r="Z14" s="23"/>
    </row>
    <row r="15" spans="2:26" ht="16.5" thickBot="1" x14ac:dyDescent="0.3">
      <c r="B15" s="23"/>
      <c r="C15" s="71"/>
      <c r="D15" s="342" t="s">
        <v>153</v>
      </c>
      <c r="E15" s="343"/>
      <c r="F15" s="343"/>
      <c r="G15" s="343"/>
      <c r="H15" s="211"/>
      <c r="I15" s="94">
        <v>0</v>
      </c>
      <c r="J15" s="31"/>
      <c r="K15" s="27"/>
      <c r="L15" s="27"/>
      <c r="M15" s="29"/>
      <c r="N15" s="24"/>
      <c r="O15" s="26"/>
      <c r="P15" s="27"/>
      <c r="Q15" s="341" t="s">
        <v>154</v>
      </c>
      <c r="R15" s="341"/>
      <c r="S15" s="131"/>
      <c r="T15" s="95">
        <v>0</v>
      </c>
      <c r="U15" s="170"/>
      <c r="V15" s="27"/>
      <c r="W15" s="27"/>
      <c r="X15" s="29"/>
      <c r="Y15" s="75"/>
      <c r="Z15" s="23"/>
    </row>
    <row r="16" spans="2:26" ht="16.5" thickBot="1" x14ac:dyDescent="0.3">
      <c r="B16" s="23"/>
      <c r="C16" s="71"/>
      <c r="D16" s="26"/>
      <c r="E16" s="27"/>
      <c r="F16" s="27"/>
      <c r="G16" s="28"/>
      <c r="H16" s="28"/>
      <c r="I16" s="28"/>
      <c r="J16" s="27"/>
      <c r="K16" s="27"/>
      <c r="L16" s="27"/>
      <c r="M16" s="29"/>
      <c r="N16" s="24"/>
      <c r="O16" s="26"/>
      <c r="P16" s="27"/>
      <c r="Q16" s="27"/>
      <c r="R16" s="169"/>
      <c r="S16" s="27"/>
      <c r="T16" s="27"/>
      <c r="U16" s="27"/>
      <c r="V16" s="27"/>
      <c r="W16" s="27"/>
      <c r="X16" s="29"/>
      <c r="Y16" s="75"/>
      <c r="Z16" s="23"/>
    </row>
    <row r="17" spans="2:26" ht="16.5" thickBot="1" x14ac:dyDescent="0.3">
      <c r="B17" s="23"/>
      <c r="C17" s="71"/>
      <c r="D17" s="342" t="s">
        <v>88</v>
      </c>
      <c r="E17" s="343"/>
      <c r="F17" s="343"/>
      <c r="G17" s="343"/>
      <c r="H17" s="28"/>
      <c r="I17" s="95">
        <v>0</v>
      </c>
      <c r="J17" s="27"/>
      <c r="K17" s="27"/>
      <c r="L17" s="27"/>
      <c r="M17" s="29"/>
      <c r="N17" s="24"/>
      <c r="O17" s="26"/>
      <c r="P17" s="27"/>
      <c r="Q17" s="343" t="s">
        <v>151</v>
      </c>
      <c r="R17" s="343"/>
      <c r="S17" s="27"/>
      <c r="T17" s="95">
        <v>0</v>
      </c>
      <c r="U17" s="27"/>
      <c r="V17" s="27"/>
      <c r="W17" s="27"/>
      <c r="X17" s="29"/>
      <c r="Y17" s="75"/>
      <c r="Z17" s="23"/>
    </row>
    <row r="18" spans="2:26" ht="9.9499999999999993" customHeight="1" x14ac:dyDescent="0.25">
      <c r="B18" s="23"/>
      <c r="C18" s="71"/>
      <c r="D18" s="26"/>
      <c r="E18" s="27"/>
      <c r="F18" s="27"/>
      <c r="G18" s="28"/>
      <c r="H18" s="28"/>
      <c r="I18" s="27"/>
      <c r="J18" s="28"/>
      <c r="K18" s="27"/>
      <c r="L18" s="27"/>
      <c r="M18" s="29"/>
      <c r="N18" s="24"/>
      <c r="O18" s="26"/>
      <c r="P18" s="27"/>
      <c r="Q18" s="168"/>
      <c r="R18" s="168"/>
      <c r="S18" s="27"/>
      <c r="T18" s="175"/>
      <c r="U18" s="27"/>
      <c r="V18" s="27"/>
      <c r="W18" s="27"/>
      <c r="X18" s="29"/>
      <c r="Y18" s="75"/>
      <c r="Z18" s="23"/>
    </row>
    <row r="19" spans="2:26" x14ac:dyDescent="0.25">
      <c r="B19" s="23"/>
      <c r="C19" s="71"/>
      <c r="D19" s="26"/>
      <c r="E19" s="294" t="s">
        <v>89</v>
      </c>
      <c r="F19" s="295"/>
      <c r="G19" s="295"/>
      <c r="H19" s="295"/>
      <c r="I19" s="295"/>
      <c r="J19" s="295"/>
      <c r="K19" s="295"/>
      <c r="L19" s="296"/>
      <c r="M19" s="29"/>
      <c r="N19" s="24"/>
      <c r="O19" s="26"/>
      <c r="P19" s="294" t="s">
        <v>89</v>
      </c>
      <c r="Q19" s="295"/>
      <c r="R19" s="295"/>
      <c r="S19" s="295"/>
      <c r="T19" s="295"/>
      <c r="U19" s="295"/>
      <c r="V19" s="295"/>
      <c r="W19" s="296"/>
      <c r="X19" s="29"/>
      <c r="Y19" s="75"/>
      <c r="Z19" s="23"/>
    </row>
    <row r="20" spans="2:26" ht="9.9499999999999993" customHeight="1" x14ac:dyDescent="0.25">
      <c r="B20" s="23"/>
      <c r="C20" s="71"/>
      <c r="D20" s="26"/>
      <c r="E20" s="21"/>
      <c r="F20" s="44"/>
      <c r="G20" s="44"/>
      <c r="H20" s="44"/>
      <c r="I20" s="44"/>
      <c r="J20" s="44"/>
      <c r="K20" s="44"/>
      <c r="L20" s="45"/>
      <c r="M20" s="39"/>
      <c r="N20" s="24"/>
      <c r="O20" s="26"/>
      <c r="P20" s="78"/>
      <c r="Q20" s="79"/>
      <c r="R20" s="79"/>
      <c r="S20" s="79"/>
      <c r="T20" s="79"/>
      <c r="U20" s="79"/>
      <c r="V20" s="79"/>
      <c r="W20" s="80"/>
      <c r="X20" s="29"/>
      <c r="Y20" s="75"/>
      <c r="Z20" s="23"/>
    </row>
    <row r="21" spans="2:26" x14ac:dyDescent="0.25">
      <c r="B21" s="23"/>
      <c r="C21" s="71"/>
      <c r="D21" s="26"/>
      <c r="E21" s="21"/>
      <c r="F21" s="349" t="s">
        <v>90</v>
      </c>
      <c r="G21" s="350"/>
      <c r="H21" s="53"/>
      <c r="I21" s="349" t="s">
        <v>87</v>
      </c>
      <c r="J21" s="351"/>
      <c r="K21" s="350"/>
      <c r="L21" s="45"/>
      <c r="M21" s="39"/>
      <c r="N21" s="24"/>
      <c r="O21" s="26"/>
      <c r="P21" s="21"/>
      <c r="Q21" s="349" t="s">
        <v>90</v>
      </c>
      <c r="R21" s="350"/>
      <c r="S21" s="52"/>
      <c r="T21" s="349" t="s">
        <v>87</v>
      </c>
      <c r="U21" s="351"/>
      <c r="V21" s="350"/>
      <c r="W21" s="54"/>
      <c r="X21" s="29"/>
      <c r="Y21" s="75"/>
      <c r="Z21" s="23"/>
    </row>
    <row r="22" spans="2:26" x14ac:dyDescent="0.25">
      <c r="B22" s="23"/>
      <c r="C22" s="71"/>
      <c r="D22" s="26"/>
      <c r="E22" s="21"/>
      <c r="F22" s="59" t="s">
        <v>58</v>
      </c>
      <c r="G22" s="60">
        <f>'National Data'!D14</f>
        <v>0</v>
      </c>
      <c r="H22" s="53"/>
      <c r="I22" s="324" t="s">
        <v>59</v>
      </c>
      <c r="J22" s="325"/>
      <c r="K22" s="60">
        <f>1.2*G22</f>
        <v>0</v>
      </c>
      <c r="L22" s="22"/>
      <c r="M22" s="39"/>
      <c r="N22" s="24"/>
      <c r="O22" s="26"/>
      <c r="P22" s="21"/>
      <c r="Q22" s="192" t="s">
        <v>158</v>
      </c>
      <c r="R22" s="60">
        <f>IF(T13=0,0,'National Data'!D89)</f>
        <v>0</v>
      </c>
      <c r="S22" s="81"/>
      <c r="T22" s="312" t="s">
        <v>158</v>
      </c>
      <c r="U22" s="309"/>
      <c r="V22" s="66">
        <f>'National Data'!D91</f>
        <v>0</v>
      </c>
      <c r="W22" s="54"/>
      <c r="X22" s="29"/>
      <c r="Y22" s="75"/>
      <c r="Z22" s="23"/>
    </row>
    <row r="23" spans="2:26" x14ac:dyDescent="0.25">
      <c r="B23" s="23"/>
      <c r="C23" s="71"/>
      <c r="D23" s="26"/>
      <c r="E23" s="21"/>
      <c r="F23" s="167" t="s">
        <v>131</v>
      </c>
      <c r="G23" s="62">
        <f>-'National Data'!J59</f>
        <v>0</v>
      </c>
      <c r="H23" s="53"/>
      <c r="I23" s="318" t="s">
        <v>131</v>
      </c>
      <c r="J23" s="319"/>
      <c r="K23" s="62">
        <f>-'National Data'!K59</f>
        <v>0</v>
      </c>
      <c r="L23" s="22"/>
      <c r="M23" s="40"/>
      <c r="N23" s="24"/>
      <c r="O23" s="26"/>
      <c r="P23" s="21"/>
      <c r="Q23" s="196" t="s">
        <v>83</v>
      </c>
      <c r="R23" s="62">
        <f>IF(T15=0,0,'National Data'!D71)</f>
        <v>0</v>
      </c>
      <c r="S23" s="81"/>
      <c r="T23" s="353" t="s">
        <v>85</v>
      </c>
      <c r="U23" s="354"/>
      <c r="V23" s="62">
        <f>'National Data'!D73</f>
        <v>0</v>
      </c>
      <c r="W23" s="54"/>
      <c r="X23" s="29"/>
      <c r="Y23" s="75"/>
      <c r="Z23" s="23"/>
    </row>
    <row r="24" spans="2:26" x14ac:dyDescent="0.25">
      <c r="B24" s="23"/>
      <c r="C24" s="71"/>
      <c r="D24" s="26"/>
      <c r="E24" s="21"/>
      <c r="F24" s="63" t="s">
        <v>67</v>
      </c>
      <c r="G24" s="64">
        <f>'National Data'!N40</f>
        <v>0</v>
      </c>
      <c r="H24" s="53"/>
      <c r="I24" s="320" t="s">
        <v>73</v>
      </c>
      <c r="J24" s="321"/>
      <c r="K24" s="64">
        <f>'National Data'!O40</f>
        <v>0</v>
      </c>
      <c r="L24" s="22"/>
      <c r="M24" s="29"/>
      <c r="N24" s="24"/>
      <c r="O24" s="26"/>
      <c r="P24" s="21"/>
      <c r="Q24" s="181" t="s">
        <v>84</v>
      </c>
      <c r="R24" s="64">
        <f>IF(T17=0,0,'National Data'!D144)</f>
        <v>0</v>
      </c>
      <c r="S24" s="52"/>
      <c r="T24" s="313" t="s">
        <v>86</v>
      </c>
      <c r="U24" s="314"/>
      <c r="V24" s="64">
        <f>'National Data'!D146</f>
        <v>0</v>
      </c>
      <c r="W24" s="54"/>
      <c r="X24" s="29"/>
      <c r="Y24" s="75"/>
      <c r="Z24" s="23"/>
    </row>
    <row r="25" spans="2:26" x14ac:dyDescent="0.25">
      <c r="B25" s="23"/>
      <c r="C25" s="71"/>
      <c r="D25" s="26"/>
      <c r="E25" s="21"/>
      <c r="F25" s="209" t="str">
        <f>IF(G25=150,"Minimum Allowable Premium","Total")</f>
        <v>Total</v>
      </c>
      <c r="G25" s="83">
        <f>IF(AND(SUM(G22:G23)&gt;0, SUM(G22:G23)&lt;150),150+G24,SUM(G22:G24))</f>
        <v>0</v>
      </c>
      <c r="H25" s="68"/>
      <c r="I25" s="322" t="str">
        <f>IF(K25=150,"Minimum Allowable Premium","Total")</f>
        <v>Total</v>
      </c>
      <c r="J25" s="323"/>
      <c r="K25" s="83">
        <f>IF(AND(SUM(K22:K23)&gt;0,SUM(K22:K23)&lt;=150),150+K24,SUM(K22:K24))</f>
        <v>0</v>
      </c>
      <c r="L25" s="51"/>
      <c r="M25" s="29"/>
      <c r="N25" s="24"/>
      <c r="O25" s="26"/>
      <c r="P25" s="21"/>
      <c r="Q25" s="140" t="str">
        <f>IF(R25=150,"Minimum Allowable Premium","Total")</f>
        <v>Total</v>
      </c>
      <c r="R25" s="83">
        <f>IF(AND(SUM(R22:R23)&gt;0,SUM(R22:R23)&lt;150),150+R24,SUM(R22:R24))</f>
        <v>0</v>
      </c>
      <c r="S25" s="142"/>
      <c r="T25" s="315" t="str">
        <f>IF(V25=150,"Minimum Allowable Premium","Total")</f>
        <v>Total</v>
      </c>
      <c r="U25" s="316"/>
      <c r="V25" s="83">
        <f>IF(AND(SUM(V22:V23)&gt;0,SUM(V22:V23)&lt;150),150+V24,SUM(V22:V24))</f>
        <v>0</v>
      </c>
      <c r="W25" s="54"/>
      <c r="X25" s="29"/>
      <c r="Y25" s="75"/>
      <c r="Z25" s="23"/>
    </row>
    <row r="26" spans="2:26" ht="9.9499999999999993" customHeight="1" x14ac:dyDescent="0.25">
      <c r="B26" s="23"/>
      <c r="C26" s="71"/>
      <c r="D26" s="26"/>
      <c r="E26" s="46"/>
      <c r="F26" s="47"/>
      <c r="G26" s="48"/>
      <c r="H26" s="48"/>
      <c r="I26" s="49"/>
      <c r="J26" s="49"/>
      <c r="K26" s="48"/>
      <c r="L26" s="50"/>
      <c r="M26" s="29"/>
      <c r="N26" s="24"/>
      <c r="O26" s="26"/>
      <c r="P26" s="46"/>
      <c r="Q26" s="57"/>
      <c r="R26" s="57"/>
      <c r="S26" s="57"/>
      <c r="T26" s="57"/>
      <c r="U26" s="57"/>
      <c r="V26" s="57"/>
      <c r="W26" s="58"/>
      <c r="X26" s="29"/>
      <c r="Y26" s="75"/>
      <c r="Z26" s="23"/>
    </row>
    <row r="27" spans="2:26" x14ac:dyDescent="0.25">
      <c r="B27" s="23"/>
      <c r="C27" s="71"/>
      <c r="D27" s="26"/>
      <c r="E27" s="27"/>
      <c r="F27" s="41"/>
      <c r="G27" s="42"/>
      <c r="H27" s="42"/>
      <c r="I27" s="43"/>
      <c r="J27" s="43"/>
      <c r="K27" s="42"/>
      <c r="L27" s="42"/>
      <c r="M27" s="29"/>
      <c r="N27" s="24"/>
      <c r="O27" s="26"/>
      <c r="P27" s="27"/>
      <c r="Q27" s="27"/>
      <c r="R27" s="27"/>
      <c r="S27" s="27"/>
      <c r="T27" s="27"/>
      <c r="U27" s="27"/>
      <c r="V27" s="27"/>
      <c r="W27" s="27"/>
      <c r="X27" s="29"/>
      <c r="Y27" s="75"/>
      <c r="Z27" s="23"/>
    </row>
    <row r="28" spans="2:26" x14ac:dyDescent="0.25">
      <c r="B28" s="23"/>
      <c r="C28" s="71"/>
      <c r="D28" s="26"/>
      <c r="E28" s="294" t="s">
        <v>91</v>
      </c>
      <c r="F28" s="295"/>
      <c r="G28" s="295"/>
      <c r="H28" s="295"/>
      <c r="I28" s="295"/>
      <c r="J28" s="295"/>
      <c r="K28" s="295"/>
      <c r="L28" s="296"/>
      <c r="M28" s="29"/>
      <c r="N28" s="24"/>
      <c r="O28" s="26"/>
      <c r="P28" s="294" t="s">
        <v>91</v>
      </c>
      <c r="Q28" s="295"/>
      <c r="R28" s="295"/>
      <c r="S28" s="295"/>
      <c r="T28" s="295"/>
      <c r="U28" s="295"/>
      <c r="V28" s="295"/>
      <c r="W28" s="296"/>
      <c r="X28" s="29"/>
      <c r="Y28" s="75"/>
      <c r="Z28" s="23"/>
    </row>
    <row r="29" spans="2:26" ht="9.9499999999999993" customHeight="1" thickBot="1" x14ac:dyDescent="0.3">
      <c r="B29" s="23"/>
      <c r="C29" s="71"/>
      <c r="D29" s="26"/>
      <c r="E29" s="21"/>
      <c r="F29" s="52"/>
      <c r="G29" s="53"/>
      <c r="H29" s="53"/>
      <c r="I29" s="52"/>
      <c r="J29" s="52"/>
      <c r="K29" s="52"/>
      <c r="L29" s="54"/>
      <c r="M29" s="39"/>
      <c r="N29" s="24"/>
      <c r="O29" s="26"/>
      <c r="P29" s="21"/>
      <c r="Q29" s="52"/>
      <c r="R29" s="52"/>
      <c r="S29" s="52"/>
      <c r="T29" s="52"/>
      <c r="U29" s="52"/>
      <c r="V29" s="52"/>
      <c r="W29" s="54"/>
      <c r="X29" s="29"/>
      <c r="Y29" s="75"/>
      <c r="Z29" s="23"/>
    </row>
    <row r="30" spans="2:26" ht="16.5" thickBot="1" x14ac:dyDescent="0.3">
      <c r="B30" s="23"/>
      <c r="C30" s="71"/>
      <c r="D30" s="26"/>
      <c r="E30" s="21"/>
      <c r="F30" s="317" t="s">
        <v>78</v>
      </c>
      <c r="G30" s="317"/>
      <c r="H30" s="55"/>
      <c r="I30" s="96"/>
      <c r="J30" s="52"/>
      <c r="K30" s="52"/>
      <c r="L30" s="54"/>
      <c r="M30" s="39"/>
      <c r="N30" s="24"/>
      <c r="O30" s="26"/>
      <c r="P30" s="21"/>
      <c r="Q30" s="317" t="s">
        <v>78</v>
      </c>
      <c r="R30" s="317"/>
      <c r="S30" s="52"/>
      <c r="T30" s="96">
        <v>0</v>
      </c>
      <c r="U30" s="52"/>
      <c r="V30" s="52"/>
      <c r="W30" s="54"/>
      <c r="X30" s="29"/>
      <c r="Y30" s="75"/>
      <c r="Z30" s="23"/>
    </row>
    <row r="31" spans="2:26" ht="9.9499999999999993" customHeight="1" x14ac:dyDescent="0.25">
      <c r="B31" s="23"/>
      <c r="C31" s="71"/>
      <c r="D31" s="26"/>
      <c r="E31" s="21"/>
      <c r="F31" s="208"/>
      <c r="G31" s="208"/>
      <c r="H31" s="55"/>
      <c r="I31" s="55"/>
      <c r="J31" s="52"/>
      <c r="K31" s="52"/>
      <c r="L31" s="54"/>
      <c r="M31" s="39"/>
      <c r="N31" s="24"/>
      <c r="O31" s="26"/>
      <c r="P31" s="21"/>
      <c r="Q31" s="52"/>
      <c r="R31" s="52"/>
      <c r="S31" s="52"/>
      <c r="T31" s="52"/>
      <c r="U31" s="52"/>
      <c r="V31" s="52"/>
      <c r="W31" s="54"/>
      <c r="X31" s="29"/>
      <c r="Y31" s="75"/>
      <c r="Z31" s="23"/>
    </row>
    <row r="32" spans="2:26" x14ac:dyDescent="0.25">
      <c r="B32" s="23"/>
      <c r="C32" s="71"/>
      <c r="D32" s="26"/>
      <c r="E32" s="21"/>
      <c r="F32" s="344" t="s">
        <v>90</v>
      </c>
      <c r="G32" s="345"/>
      <c r="H32" s="55"/>
      <c r="I32" s="346" t="s">
        <v>87</v>
      </c>
      <c r="J32" s="347"/>
      <c r="K32" s="348"/>
      <c r="L32" s="54"/>
      <c r="M32" s="39"/>
      <c r="N32" s="24"/>
      <c r="O32" s="26"/>
      <c r="P32" s="21"/>
      <c r="Q32" s="344" t="s">
        <v>90</v>
      </c>
      <c r="R32" s="345"/>
      <c r="S32" s="5"/>
      <c r="T32" s="355" t="s">
        <v>87</v>
      </c>
      <c r="U32" s="356"/>
      <c r="V32" s="357"/>
      <c r="W32" s="54"/>
      <c r="X32" s="29"/>
      <c r="Y32" s="75"/>
      <c r="Z32" s="23"/>
    </row>
    <row r="33" spans="2:26" x14ac:dyDescent="0.25">
      <c r="B33" s="23"/>
      <c r="C33" s="71"/>
      <c r="D33" s="26"/>
      <c r="E33" s="21"/>
      <c r="F33" s="65" t="s">
        <v>79</v>
      </c>
      <c r="G33" s="66">
        <f>I30*G25</f>
        <v>0</v>
      </c>
      <c r="H33" s="53"/>
      <c r="I33" s="308" t="s">
        <v>79</v>
      </c>
      <c r="J33" s="309"/>
      <c r="K33" s="66">
        <f>I30*K25</f>
        <v>0</v>
      </c>
      <c r="L33" s="22"/>
      <c r="M33" s="29"/>
      <c r="N33" s="24"/>
      <c r="O33" s="26"/>
      <c r="P33" s="21"/>
      <c r="Q33" s="65" t="s">
        <v>79</v>
      </c>
      <c r="R33" s="66">
        <f>R25*T30</f>
        <v>0</v>
      </c>
      <c r="S33" s="5"/>
      <c r="T33" s="308" t="s">
        <v>79</v>
      </c>
      <c r="U33" s="309"/>
      <c r="V33" s="66">
        <f>T30*V25</f>
        <v>0</v>
      </c>
      <c r="W33" s="54"/>
      <c r="X33" s="29"/>
      <c r="Y33" s="75"/>
      <c r="Z33" s="23"/>
    </row>
    <row r="34" spans="2:26" x14ac:dyDescent="0.25">
      <c r="B34" s="23"/>
      <c r="C34" s="71"/>
      <c r="D34" s="26"/>
      <c r="E34" s="21"/>
      <c r="F34" s="67" t="s">
        <v>80</v>
      </c>
      <c r="G34" s="69">
        <f>IF(I30&gt;0,(100%-I30)*G25,0)</f>
        <v>0</v>
      </c>
      <c r="H34" s="53"/>
      <c r="I34" s="310" t="s">
        <v>80</v>
      </c>
      <c r="J34" s="311"/>
      <c r="K34" s="69">
        <f>IF(I30&gt;0,(100%-I30)*K25,0)</f>
        <v>0</v>
      </c>
      <c r="L34" s="22"/>
      <c r="M34" s="29"/>
      <c r="N34" s="24"/>
      <c r="O34" s="26"/>
      <c r="P34" s="21"/>
      <c r="Q34" s="67" t="s">
        <v>80</v>
      </c>
      <c r="R34" s="69">
        <f>IF(T30=0,(0),(R25-R33))</f>
        <v>0</v>
      </c>
      <c r="S34" s="5"/>
      <c r="T34" s="310" t="s">
        <v>80</v>
      </c>
      <c r="U34" s="311"/>
      <c r="V34" s="69">
        <f>IF(T30&gt;0,(100%-T30)*V25,0)</f>
        <v>0</v>
      </c>
      <c r="W34" s="54"/>
      <c r="X34" s="29"/>
      <c r="Y34" s="75"/>
      <c r="Z34" s="23"/>
    </row>
    <row r="35" spans="2:26" ht="9.9499999999999993" customHeight="1" x14ac:dyDescent="0.25">
      <c r="B35" s="23"/>
      <c r="C35" s="71"/>
      <c r="D35" s="26"/>
      <c r="E35" s="46"/>
      <c r="F35" s="57"/>
      <c r="G35" s="56"/>
      <c r="H35" s="56"/>
      <c r="I35" s="57"/>
      <c r="J35" s="57"/>
      <c r="K35" s="57"/>
      <c r="L35" s="58"/>
      <c r="M35" s="29"/>
      <c r="N35" s="24"/>
      <c r="O35" s="26"/>
      <c r="P35" s="46"/>
      <c r="Q35" s="57"/>
      <c r="R35" s="57"/>
      <c r="S35" s="57"/>
      <c r="T35" s="57"/>
      <c r="U35" s="57"/>
      <c r="V35" s="57"/>
      <c r="W35" s="58"/>
      <c r="X35" s="29"/>
      <c r="Y35" s="75"/>
      <c r="Z35" s="23"/>
    </row>
    <row r="36" spans="2:26" x14ac:dyDescent="0.25">
      <c r="B36" s="23"/>
      <c r="C36" s="71"/>
      <c r="D36" s="26"/>
      <c r="E36" s="27"/>
      <c r="F36" s="27"/>
      <c r="G36" s="28"/>
      <c r="H36" s="28"/>
      <c r="I36" s="27"/>
      <c r="J36" s="27"/>
      <c r="K36" s="27"/>
      <c r="L36" s="27"/>
      <c r="M36" s="29"/>
      <c r="N36" s="24"/>
      <c r="O36" s="26"/>
      <c r="P36" s="27"/>
      <c r="Q36" s="27"/>
      <c r="R36" s="27"/>
      <c r="S36" s="27"/>
      <c r="T36" s="27"/>
      <c r="U36" s="27"/>
      <c r="V36" s="27"/>
      <c r="W36" s="27"/>
      <c r="X36" s="29"/>
      <c r="Y36" s="75"/>
      <c r="Z36" s="23"/>
    </row>
    <row r="37" spans="2:26" x14ac:dyDescent="0.25">
      <c r="B37" s="23"/>
      <c r="C37" s="71"/>
      <c r="D37" s="26"/>
      <c r="E37" s="294" t="s">
        <v>162</v>
      </c>
      <c r="F37" s="295"/>
      <c r="G37" s="295"/>
      <c r="H37" s="295"/>
      <c r="I37" s="295"/>
      <c r="J37" s="295"/>
      <c r="K37" s="295"/>
      <c r="L37" s="296"/>
      <c r="M37" s="29"/>
      <c r="N37" s="24"/>
      <c r="O37" s="26"/>
      <c r="P37" s="27"/>
      <c r="Q37" s="27"/>
      <c r="R37" s="27"/>
      <c r="S37" s="27"/>
      <c r="T37" s="27"/>
      <c r="U37" s="27"/>
      <c r="V37" s="27"/>
      <c r="W37" s="27"/>
      <c r="X37" s="29"/>
      <c r="Y37" s="75"/>
      <c r="Z37" s="23"/>
    </row>
    <row r="38" spans="2:26" x14ac:dyDescent="0.25">
      <c r="B38" s="23"/>
      <c r="C38" s="71"/>
      <c r="D38" s="26"/>
      <c r="E38" s="222"/>
      <c r="F38" s="221"/>
      <c r="G38" s="221"/>
      <c r="H38" s="221"/>
      <c r="I38" s="221"/>
      <c r="J38" s="221"/>
      <c r="K38" s="221"/>
      <c r="L38" s="223"/>
      <c r="M38" s="29"/>
      <c r="N38" s="24"/>
      <c r="O38" s="26"/>
      <c r="P38" s="27"/>
      <c r="Q38" s="27"/>
      <c r="R38" s="27"/>
      <c r="S38" s="27"/>
      <c r="T38" s="27"/>
      <c r="U38" s="27"/>
      <c r="V38" s="27"/>
      <c r="W38" s="27"/>
      <c r="X38" s="29"/>
      <c r="Y38" s="75"/>
      <c r="Z38" s="23"/>
    </row>
    <row r="39" spans="2:26" x14ac:dyDescent="0.25">
      <c r="B39" s="23"/>
      <c r="C39" s="71"/>
      <c r="D39" s="26"/>
      <c r="E39" s="218"/>
      <c r="F39" s="227"/>
      <c r="G39" s="228"/>
      <c r="H39" s="229"/>
      <c r="I39" s="210" t="s">
        <v>90</v>
      </c>
      <c r="J39" s="210" t="s">
        <v>87</v>
      </c>
      <c r="K39" s="228"/>
      <c r="L39" s="219"/>
      <c r="M39" s="29"/>
      <c r="N39" s="24"/>
      <c r="O39" s="26"/>
      <c r="P39" s="27"/>
      <c r="Q39" s="27"/>
      <c r="R39" s="27"/>
      <c r="S39" s="27"/>
      <c r="T39" s="27"/>
      <c r="U39" s="27"/>
      <c r="V39" s="27"/>
      <c r="W39" s="27"/>
      <c r="X39" s="29"/>
      <c r="Y39" s="75"/>
      <c r="Z39" s="23"/>
    </row>
    <row r="40" spans="2:26" x14ac:dyDescent="0.25">
      <c r="B40" s="23"/>
      <c r="C40" s="71"/>
      <c r="D40" s="26"/>
      <c r="E40" s="21"/>
      <c r="F40" s="297" t="s">
        <v>163</v>
      </c>
      <c r="G40" s="298"/>
      <c r="H40" s="68"/>
      <c r="I40" s="232">
        <f>IF(I17=0,0,G25-I42)</f>
        <v>0</v>
      </c>
      <c r="J40" s="234">
        <f>IF(I17=0,0,K25-J42)</f>
        <v>0</v>
      </c>
      <c r="K40" s="236"/>
      <c r="L40" s="51"/>
      <c r="M40" s="29"/>
      <c r="N40" s="24"/>
      <c r="O40" s="26"/>
      <c r="P40" s="27"/>
      <c r="Q40" s="27"/>
      <c r="R40" s="27"/>
      <c r="S40" s="27"/>
      <c r="T40" s="27"/>
      <c r="U40" s="27"/>
      <c r="V40" s="27"/>
      <c r="W40" s="27"/>
      <c r="X40" s="29"/>
      <c r="Y40" s="75"/>
      <c r="Z40" s="23"/>
    </row>
    <row r="41" spans="2:26" x14ac:dyDescent="0.25">
      <c r="B41" s="23"/>
      <c r="C41" s="71"/>
      <c r="D41" s="26"/>
      <c r="E41" s="225"/>
      <c r="F41" s="299" t="s">
        <v>164</v>
      </c>
      <c r="G41" s="300"/>
      <c r="H41" s="220"/>
      <c r="I41" s="233">
        <f>IF(I17=0,0,G22+G23-I40)</f>
        <v>0</v>
      </c>
      <c r="J41" s="235">
        <f>IF(I17=0,0,K22+K23-J40)</f>
        <v>0</v>
      </c>
      <c r="K41" s="237"/>
      <c r="L41" s="226"/>
      <c r="M41" s="29"/>
      <c r="N41" s="24"/>
      <c r="O41" s="26"/>
      <c r="P41" s="27"/>
      <c r="Q41" s="27"/>
      <c r="R41" s="27"/>
      <c r="S41" s="27"/>
      <c r="T41" s="27"/>
      <c r="U41" s="27"/>
      <c r="V41" s="27"/>
      <c r="W41" s="27"/>
      <c r="X41" s="29"/>
      <c r="Y41" s="75"/>
      <c r="Z41" s="23"/>
    </row>
    <row r="42" spans="2:26" x14ac:dyDescent="0.25">
      <c r="B42" s="23"/>
      <c r="C42" s="71"/>
      <c r="D42" s="26"/>
      <c r="E42" s="21"/>
      <c r="F42" s="301" t="s">
        <v>165</v>
      </c>
      <c r="G42" s="302"/>
      <c r="H42" s="48"/>
      <c r="I42" s="231">
        <f>IF(I17=0,0,'National Data'!D106)</f>
        <v>0</v>
      </c>
      <c r="J42" s="231">
        <f>IF(I17=0,0,'National Data'!D108)</f>
        <v>0</v>
      </c>
      <c r="K42" s="238"/>
      <c r="L42" s="51"/>
      <c r="M42" s="29"/>
      <c r="N42" s="24"/>
      <c r="O42" s="26"/>
      <c r="P42" s="27"/>
      <c r="Q42" s="27"/>
      <c r="R42" s="27"/>
      <c r="S42" s="27"/>
      <c r="T42" s="27"/>
      <c r="U42" s="27"/>
      <c r="V42" s="27"/>
      <c r="W42" s="27"/>
      <c r="X42" s="29"/>
      <c r="Y42" s="75"/>
      <c r="Z42" s="23"/>
    </row>
    <row r="43" spans="2:26" x14ac:dyDescent="0.25">
      <c r="B43" s="23"/>
      <c r="C43" s="71"/>
      <c r="D43" s="26"/>
      <c r="E43" s="46"/>
      <c r="F43" s="224"/>
      <c r="G43" s="224"/>
      <c r="H43" s="48"/>
      <c r="I43" s="231"/>
      <c r="J43" s="231"/>
      <c r="K43" s="230"/>
      <c r="L43" s="50"/>
      <c r="M43" s="29"/>
      <c r="N43" s="24"/>
      <c r="O43" s="26"/>
      <c r="P43" s="27"/>
      <c r="Q43" s="27"/>
      <c r="R43" s="27"/>
      <c r="S43" s="27"/>
      <c r="T43" s="27"/>
      <c r="U43" s="27"/>
      <c r="V43" s="27"/>
      <c r="W43" s="27"/>
      <c r="X43" s="29"/>
      <c r="Y43" s="75"/>
      <c r="Z43" s="23"/>
    </row>
    <row r="44" spans="2:26" x14ac:dyDescent="0.25">
      <c r="B44" s="23"/>
      <c r="C44" s="71"/>
      <c r="D44" s="35"/>
      <c r="E44" s="36"/>
      <c r="F44" s="239"/>
      <c r="G44" s="239"/>
      <c r="H44" s="240"/>
      <c r="I44" s="241"/>
      <c r="J44" s="241"/>
      <c r="K44" s="240"/>
      <c r="L44" s="240"/>
      <c r="M44" s="38"/>
      <c r="N44" s="24"/>
      <c r="O44" s="35"/>
      <c r="P44" s="36"/>
      <c r="Q44" s="36"/>
      <c r="R44" s="36"/>
      <c r="S44" s="36"/>
      <c r="T44" s="36"/>
      <c r="U44" s="36"/>
      <c r="V44" s="36"/>
      <c r="W44" s="36"/>
      <c r="X44" s="38"/>
      <c r="Y44" s="75"/>
      <c r="Z44" s="23"/>
    </row>
    <row r="45" spans="2:26" ht="6.95" customHeight="1" x14ac:dyDescent="0.25">
      <c r="B45" s="23"/>
      <c r="C45" s="72"/>
      <c r="D45" s="73"/>
      <c r="E45" s="73"/>
      <c r="F45" s="73"/>
      <c r="G45" s="74"/>
      <c r="H45" s="74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6"/>
      <c r="Z45" s="23"/>
    </row>
    <row r="46" spans="2:26" ht="6.95" customHeight="1" x14ac:dyDescent="0.25">
      <c r="B46" s="23"/>
      <c r="C46" s="23"/>
      <c r="D46" s="23"/>
      <c r="E46" s="23"/>
      <c r="F46" s="52"/>
      <c r="G46" s="53"/>
      <c r="H46" s="53"/>
      <c r="I46" s="52"/>
      <c r="J46" s="5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2:26" ht="24" customHeight="1" x14ac:dyDescent="0.3">
      <c r="C47" s="304" t="s">
        <v>144</v>
      </c>
      <c r="D47" s="304"/>
      <c r="E47" s="304"/>
      <c r="F47" s="304"/>
      <c r="G47" s="304"/>
      <c r="H47" s="304"/>
      <c r="I47" s="304"/>
      <c r="J47" s="304"/>
      <c r="K47" s="304"/>
      <c r="L47" s="135"/>
      <c r="M47" s="135"/>
      <c r="N47" s="135"/>
      <c r="O47" s="135"/>
      <c r="P47" s="135"/>
      <c r="Q47" s="303" t="s">
        <v>149</v>
      </c>
      <c r="R47" s="303"/>
      <c r="S47" s="303"/>
      <c r="T47" s="303"/>
      <c r="U47" s="303"/>
      <c r="V47" s="303"/>
      <c r="W47" s="303"/>
      <c r="X47" s="303"/>
      <c r="Y47" s="135"/>
      <c r="Z47" s="135"/>
    </row>
    <row r="48" spans="2:26" x14ac:dyDescent="0.25">
      <c r="C48" s="101"/>
      <c r="O48" s="101"/>
      <c r="P48" s="101"/>
      <c r="Q48" s="101"/>
      <c r="R48" s="101"/>
      <c r="S48" s="101"/>
      <c r="T48" s="101"/>
      <c r="U48" s="101"/>
    </row>
    <row r="49" spans="3:21" x14ac:dyDescent="0.25">
      <c r="C49" s="101"/>
      <c r="R49" s="102"/>
      <c r="S49" s="101"/>
      <c r="T49" s="101"/>
      <c r="U49" s="101"/>
    </row>
    <row r="50" spans="3:21" x14ac:dyDescent="0.25">
      <c r="C50" s="101"/>
      <c r="S50" s="101"/>
      <c r="T50" s="101"/>
      <c r="U50" s="101"/>
    </row>
    <row r="51" spans="3:21" x14ac:dyDescent="0.25">
      <c r="C51" s="101"/>
      <c r="S51" s="101"/>
      <c r="T51" s="101"/>
      <c r="U51" s="101"/>
    </row>
    <row r="52" spans="3:21" x14ac:dyDescent="0.25">
      <c r="C52" s="101"/>
      <c r="Q52" s="101"/>
      <c r="R52" s="102"/>
      <c r="S52" s="101"/>
      <c r="T52" s="101"/>
      <c r="U52" s="101"/>
    </row>
    <row r="53" spans="3:21" x14ac:dyDescent="0.25">
      <c r="S53" s="101"/>
    </row>
    <row r="54" spans="3:21" x14ac:dyDescent="0.25">
      <c r="S54" s="101"/>
    </row>
    <row r="55" spans="3:21" x14ac:dyDescent="0.25">
      <c r="D55" s="101"/>
      <c r="E55" s="101"/>
      <c r="S55" s="101"/>
    </row>
    <row r="56" spans="3:21" x14ac:dyDescent="0.25">
      <c r="F56" s="101"/>
      <c r="G56" s="102"/>
      <c r="H56" s="102"/>
      <c r="Q56" s="101"/>
      <c r="R56" s="102"/>
      <c r="S56" s="101"/>
      <c r="T56" s="101"/>
      <c r="U56" s="101"/>
    </row>
    <row r="57" spans="3:21" x14ac:dyDescent="0.25">
      <c r="Q57" s="101"/>
      <c r="S57" s="101"/>
      <c r="T57" s="101"/>
      <c r="U57" s="101"/>
    </row>
    <row r="58" spans="3:21" x14ac:dyDescent="0.25">
      <c r="S58" s="101"/>
    </row>
    <row r="59" spans="3:21" x14ac:dyDescent="0.25">
      <c r="S59" s="101"/>
    </row>
    <row r="60" spans="3:21" x14ac:dyDescent="0.25">
      <c r="O60" s="101"/>
      <c r="P60" s="101"/>
      <c r="R60" s="101"/>
      <c r="S60" s="101"/>
      <c r="T60" s="101"/>
      <c r="U60" s="101"/>
    </row>
  </sheetData>
  <sheetProtection password="EB27" sheet="1" objects="1" scenarios="1" selectLockedCells="1"/>
  <mergeCells count="45">
    <mergeCell ref="T34:U34"/>
    <mergeCell ref="Q14:R14"/>
    <mergeCell ref="Q17:R17"/>
    <mergeCell ref="Q21:R21"/>
    <mergeCell ref="T21:V21"/>
    <mergeCell ref="P19:W19"/>
    <mergeCell ref="T23:U23"/>
    <mergeCell ref="Q32:R32"/>
    <mergeCell ref="T32:V32"/>
    <mergeCell ref="C9:Y9"/>
    <mergeCell ref="Q15:R15"/>
    <mergeCell ref="T33:U33"/>
    <mergeCell ref="D13:G13"/>
    <mergeCell ref="D15:G15"/>
    <mergeCell ref="D17:G17"/>
    <mergeCell ref="D11:M11"/>
    <mergeCell ref="E19:L19"/>
    <mergeCell ref="F32:G32"/>
    <mergeCell ref="I32:K32"/>
    <mergeCell ref="E28:L28"/>
    <mergeCell ref="F30:G30"/>
    <mergeCell ref="F21:G21"/>
    <mergeCell ref="I21:K21"/>
    <mergeCell ref="C5:Y5"/>
    <mergeCell ref="I33:J33"/>
    <mergeCell ref="I34:J34"/>
    <mergeCell ref="T22:U22"/>
    <mergeCell ref="T24:U24"/>
    <mergeCell ref="T25:U25"/>
    <mergeCell ref="P28:W28"/>
    <mergeCell ref="Q30:R30"/>
    <mergeCell ref="I23:J23"/>
    <mergeCell ref="I24:J24"/>
    <mergeCell ref="I25:J25"/>
    <mergeCell ref="I22:J22"/>
    <mergeCell ref="O11:X11"/>
    <mergeCell ref="C6:Y6"/>
    <mergeCell ref="C8:Y8"/>
    <mergeCell ref="C7:Y7"/>
    <mergeCell ref="E37:L37"/>
    <mergeCell ref="F40:G40"/>
    <mergeCell ref="F41:G41"/>
    <mergeCell ref="F42:G42"/>
    <mergeCell ref="Q47:X47"/>
    <mergeCell ref="C47:K47"/>
  </mergeCells>
  <phoneticPr fontId="19" type="noConversion"/>
  <hyperlinks>
    <hyperlink ref="F2" location="Menu!A1" display="Return To Main Menu"/>
    <hyperlink ref="C47" r:id="rId1"/>
    <hyperlink ref="D47" r:id="rId2" display="http://ratecalculator.fnf.com/"/>
    <hyperlink ref="E47" r:id="rId3" display="http://ratecalculator.fnf.com/"/>
    <hyperlink ref="F47" r:id="rId4" display="http://ratecalculator.fnf.com/"/>
    <hyperlink ref="G47" r:id="rId5" display="http://ratecalculator.fnf.com/"/>
    <hyperlink ref="H47" r:id="rId6" display="http://ratecalculator.fnf.com/"/>
    <hyperlink ref="I47" r:id="rId7" display="http://ratecalculator.fnf.com/"/>
    <hyperlink ref="J47" r:id="rId8" display="http://ratecalculator.fnf.com/"/>
    <hyperlink ref="K47" r:id="rId9" display="http://ratecalculator.fnf.com/"/>
  </hyperlinks>
  <printOptions horizontalCentered="1" verticalCentered="1"/>
  <pageMargins left="0.1" right="0.1" top="0.1" bottom="0.1" header="0" footer="0"/>
  <pageSetup scale="62" orientation="landscape" verticalDpi="4294967292" r:id="rId10"/>
  <drawing r:id="rId1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55"/>
  <sheetViews>
    <sheetView topLeftCell="A76" zoomScale="85" zoomScaleNormal="85" zoomScalePageLayoutView="85" workbookViewId="0">
      <selection activeCell="K99" sqref="K99"/>
    </sheetView>
  </sheetViews>
  <sheetFormatPr defaultColWidth="0" defaultRowHeight="15.75" zeroHeight="1" x14ac:dyDescent="0.25"/>
  <cols>
    <col min="1" max="2" width="1.125" style="23" customWidth="1"/>
    <col min="3" max="3" width="7.125" customWidth="1"/>
    <col min="4" max="4" width="17.125" bestFit="1" customWidth="1"/>
    <col min="5" max="5" width="20.875" bestFit="1" customWidth="1"/>
    <col min="6" max="6" width="8.875" bestFit="1" customWidth="1"/>
    <col min="7" max="7" width="9.125" customWidth="1"/>
    <col min="8" max="8" width="22.625" bestFit="1" customWidth="1"/>
    <col min="9" max="9" width="25.125" bestFit="1" customWidth="1"/>
    <col min="10" max="10" width="20" bestFit="1" customWidth="1"/>
    <col min="11" max="11" width="14.125" bestFit="1" customWidth="1"/>
    <col min="12" max="12" width="14.125" customWidth="1"/>
    <col min="13" max="13" width="17" customWidth="1"/>
    <col min="14" max="14" width="15.375" bestFit="1" customWidth="1"/>
    <col min="15" max="15" width="27.125" bestFit="1" customWidth="1"/>
    <col min="16" max="16" width="1.125" customWidth="1"/>
    <col min="17" max="18" width="1.125" style="23" customWidth="1"/>
    <col min="19" max="16384" width="10.875" hidden="1"/>
  </cols>
  <sheetData>
    <row r="1" spans="2:17" s="23" customFormat="1" ht="6.95" customHeight="1" x14ac:dyDescent="0.25"/>
    <row r="2" spans="2:17" x14ac:dyDescent="0.25">
      <c r="B2" s="271" t="s">
        <v>98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272"/>
    </row>
    <row r="3" spans="2:17" x14ac:dyDescent="0.25">
      <c r="B3" s="273" t="s">
        <v>126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274"/>
    </row>
    <row r="4" spans="2:17" x14ac:dyDescent="0.25">
      <c r="B4" s="2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4"/>
    </row>
    <row r="5" spans="2:17" x14ac:dyDescent="0.25">
      <c r="B5" s="21"/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54"/>
    </row>
    <row r="6" spans="2:17" x14ac:dyDescent="0.25">
      <c r="B6" s="21"/>
      <c r="C6" s="4"/>
      <c r="D6" s="1" t="s">
        <v>60</v>
      </c>
      <c r="E6" s="2"/>
      <c r="F6" s="2"/>
      <c r="G6" s="2"/>
      <c r="H6" s="2"/>
      <c r="I6" s="2"/>
      <c r="J6" s="3"/>
      <c r="K6" s="5"/>
      <c r="L6" s="5"/>
      <c r="M6" s="5"/>
      <c r="N6" s="5"/>
      <c r="O6" s="5"/>
      <c r="P6" s="6"/>
      <c r="Q6" s="54"/>
    </row>
    <row r="7" spans="2:17" x14ac:dyDescent="0.25">
      <c r="B7" s="21"/>
      <c r="C7" s="4"/>
      <c r="D7" s="4"/>
      <c r="E7" s="5"/>
      <c r="F7" s="5" t="s">
        <v>62</v>
      </c>
      <c r="G7" s="5" t="s">
        <v>63</v>
      </c>
      <c r="H7" s="5"/>
      <c r="I7" s="5"/>
      <c r="J7" s="6"/>
      <c r="K7" s="5"/>
      <c r="L7" s="5"/>
      <c r="M7" s="5"/>
      <c r="N7" s="5"/>
      <c r="O7" s="5"/>
      <c r="P7" s="6"/>
      <c r="Q7" s="54"/>
    </row>
    <row r="8" spans="2:17" x14ac:dyDescent="0.25">
      <c r="B8" s="21"/>
      <c r="C8" s="4"/>
      <c r="D8" s="4" t="s">
        <v>0</v>
      </c>
      <c r="E8" s="5"/>
      <c r="F8" s="5">
        <v>0</v>
      </c>
      <c r="G8" s="5">
        <v>49</v>
      </c>
      <c r="H8" s="5" t="s">
        <v>1</v>
      </c>
      <c r="I8" s="5" t="s">
        <v>32</v>
      </c>
      <c r="J8" s="6" t="s">
        <v>3</v>
      </c>
      <c r="K8" s="5"/>
      <c r="L8" s="5"/>
      <c r="M8" s="5"/>
      <c r="N8" s="5"/>
      <c r="O8" s="5"/>
      <c r="P8" s="6"/>
      <c r="Q8" s="54"/>
    </row>
    <row r="9" spans="2:17" x14ac:dyDescent="0.25">
      <c r="B9" s="21"/>
      <c r="C9" s="4"/>
      <c r="D9" s="7">
        <f>'National Rates'!I13</f>
        <v>0</v>
      </c>
      <c r="E9" s="5"/>
      <c r="F9" s="5"/>
      <c r="G9" s="5"/>
      <c r="H9" s="8">
        <f>ROUNDUP((D9/1000),0)</f>
        <v>0</v>
      </c>
      <c r="I9" s="8">
        <f>IF(H9&lt;50,H9,50)</f>
        <v>0</v>
      </c>
      <c r="J9" s="6">
        <f>IF(H9&gt;35,I9*'National Rate Table'!E6,IF(H9=0,0,150))</f>
        <v>0</v>
      </c>
      <c r="K9" s="5"/>
      <c r="L9" s="5"/>
      <c r="M9" s="5"/>
      <c r="N9" s="5"/>
      <c r="O9" s="5"/>
      <c r="P9" s="6"/>
      <c r="Q9" s="54"/>
    </row>
    <row r="10" spans="2:17" x14ac:dyDescent="0.25">
      <c r="B10" s="21"/>
      <c r="C10" s="4"/>
      <c r="D10" s="4"/>
      <c r="E10" s="5" t="s">
        <v>23</v>
      </c>
      <c r="F10" s="5">
        <v>50</v>
      </c>
      <c r="G10" s="5">
        <v>100</v>
      </c>
      <c r="H10" s="5" t="s">
        <v>2</v>
      </c>
      <c r="I10" s="5" t="s">
        <v>7</v>
      </c>
      <c r="J10" s="6" t="s">
        <v>8</v>
      </c>
      <c r="K10" s="5"/>
      <c r="L10" s="5"/>
      <c r="M10" s="5"/>
      <c r="N10" s="5"/>
      <c r="O10" s="5"/>
      <c r="P10" s="6"/>
      <c r="Q10" s="54"/>
    </row>
    <row r="11" spans="2:17" x14ac:dyDescent="0.25">
      <c r="B11" s="21"/>
      <c r="C11" s="4"/>
      <c r="D11" s="4"/>
      <c r="E11" s="5"/>
      <c r="F11" s="5"/>
      <c r="G11" s="5"/>
      <c r="H11" s="8">
        <f>H9-50</f>
        <v>-50</v>
      </c>
      <c r="I11" s="8">
        <f>IF(H11&gt;50,50,H11)</f>
        <v>-50</v>
      </c>
      <c r="J11" s="6">
        <f>IF(I11&gt;0,I11*'National Rate Table'!E7,0)</f>
        <v>0</v>
      </c>
      <c r="K11" s="5"/>
      <c r="L11" s="5"/>
      <c r="M11" s="5"/>
      <c r="N11" s="5"/>
      <c r="O11" s="5"/>
      <c r="P11" s="6"/>
      <c r="Q11" s="54"/>
    </row>
    <row r="12" spans="2:17" x14ac:dyDescent="0.25">
      <c r="B12" s="21"/>
      <c r="C12" s="4"/>
      <c r="D12" s="4"/>
      <c r="E12" s="5" t="s">
        <v>24</v>
      </c>
      <c r="F12" s="5">
        <v>101</v>
      </c>
      <c r="G12" s="5">
        <v>1000</v>
      </c>
      <c r="H12" s="5" t="s">
        <v>9</v>
      </c>
      <c r="I12" s="5" t="s">
        <v>7</v>
      </c>
      <c r="J12" s="6" t="s">
        <v>10</v>
      </c>
      <c r="K12" s="5"/>
      <c r="L12" s="5"/>
      <c r="M12" s="5"/>
      <c r="N12" s="5"/>
      <c r="O12" s="5"/>
      <c r="P12" s="6"/>
      <c r="Q12" s="54"/>
    </row>
    <row r="13" spans="2:17" x14ac:dyDescent="0.25">
      <c r="B13" s="21"/>
      <c r="C13" s="4"/>
      <c r="D13" s="4" t="s">
        <v>53</v>
      </c>
      <c r="E13" s="5"/>
      <c r="F13" s="5"/>
      <c r="G13" s="5"/>
      <c r="H13" s="8">
        <f>H11-50</f>
        <v>-100</v>
      </c>
      <c r="I13" s="5">
        <f>IF(H13&gt;900,900,H13)</f>
        <v>-100</v>
      </c>
      <c r="J13" s="6">
        <f>IF(I13&gt;0,I13*'National Rate Table'!E8,0)</f>
        <v>0</v>
      </c>
      <c r="K13" s="5"/>
      <c r="L13" s="5"/>
      <c r="M13" s="5"/>
      <c r="N13" s="5"/>
      <c r="O13" s="5"/>
      <c r="P13" s="6"/>
      <c r="Q13" s="54"/>
    </row>
    <row r="14" spans="2:17" x14ac:dyDescent="0.25">
      <c r="B14" s="21"/>
      <c r="C14" s="4"/>
      <c r="D14" s="4">
        <f>J22</f>
        <v>0</v>
      </c>
      <c r="E14" s="5" t="s">
        <v>26</v>
      </c>
      <c r="F14" s="5">
        <v>1001</v>
      </c>
      <c r="G14" s="5">
        <v>5000</v>
      </c>
      <c r="H14" s="5" t="s">
        <v>16</v>
      </c>
      <c r="I14" s="5" t="s">
        <v>7</v>
      </c>
      <c r="J14" s="6" t="s">
        <v>21</v>
      </c>
      <c r="K14" s="5"/>
      <c r="L14" s="5"/>
      <c r="M14" s="5"/>
      <c r="N14" s="5"/>
      <c r="O14" s="5"/>
      <c r="P14" s="6"/>
      <c r="Q14" s="54"/>
    </row>
    <row r="15" spans="2:17" x14ac:dyDescent="0.25">
      <c r="B15" s="21"/>
      <c r="C15" s="4"/>
      <c r="D15" s="4" t="s">
        <v>52</v>
      </c>
      <c r="E15" s="5"/>
      <c r="F15" s="5"/>
      <c r="G15" s="5"/>
      <c r="H15" s="8">
        <f>H13-900</f>
        <v>-1000</v>
      </c>
      <c r="I15" s="5">
        <f>IF(H15&gt;4000,4000,H15)</f>
        <v>-1000</v>
      </c>
      <c r="J15" s="6">
        <f>IF(I15&gt;0,I15*'National Rate Table'!E9,0)</f>
        <v>0</v>
      </c>
      <c r="K15" s="5"/>
      <c r="L15" s="5"/>
      <c r="M15" s="5"/>
      <c r="N15" s="5"/>
      <c r="O15" s="5"/>
      <c r="P15" s="6"/>
      <c r="Q15" s="54"/>
    </row>
    <row r="16" spans="2:17" x14ac:dyDescent="0.25">
      <c r="B16" s="21"/>
      <c r="C16" s="4"/>
      <c r="D16" s="4">
        <f>D14*1.2</f>
        <v>0</v>
      </c>
      <c r="E16" s="5" t="s">
        <v>25</v>
      </c>
      <c r="F16" s="5">
        <v>5001</v>
      </c>
      <c r="G16" s="5">
        <v>10000</v>
      </c>
      <c r="H16" s="5" t="s">
        <v>20</v>
      </c>
      <c r="I16" s="5" t="s">
        <v>7</v>
      </c>
      <c r="J16" s="6" t="s">
        <v>22</v>
      </c>
      <c r="K16" s="5"/>
      <c r="L16" s="5"/>
      <c r="M16" s="5"/>
      <c r="N16" s="5"/>
      <c r="O16" s="5"/>
      <c r="P16" s="6"/>
      <c r="Q16" s="54"/>
    </row>
    <row r="17" spans="2:18" x14ac:dyDescent="0.25">
      <c r="B17" s="21"/>
      <c r="C17" s="4"/>
      <c r="D17" s="4" t="s">
        <v>54</v>
      </c>
      <c r="E17" s="5"/>
      <c r="F17" s="5"/>
      <c r="G17" s="5"/>
      <c r="H17" s="8">
        <f>H15-4000</f>
        <v>-5000</v>
      </c>
      <c r="I17" s="5">
        <f>IF(H17&gt;5000,5000,H17)</f>
        <v>-5000</v>
      </c>
      <c r="J17" s="6">
        <f>IF(I17&gt;0,I17*'National Rate Table'!E10, 0)</f>
        <v>0</v>
      </c>
      <c r="K17" s="5"/>
      <c r="L17" s="5"/>
      <c r="M17" s="5"/>
      <c r="N17" s="5"/>
      <c r="O17" s="5"/>
      <c r="P17" s="6"/>
      <c r="Q17" s="54"/>
    </row>
    <row r="18" spans="2:18" x14ac:dyDescent="0.25">
      <c r="B18" s="21"/>
      <c r="C18" s="4"/>
      <c r="D18" s="4">
        <f>D14*0.7</f>
        <v>0</v>
      </c>
      <c r="E18" s="5" t="s">
        <v>27</v>
      </c>
      <c r="F18" s="5">
        <v>10001</v>
      </c>
      <c r="G18" s="5">
        <v>15000</v>
      </c>
      <c r="H18" s="5" t="s">
        <v>28</v>
      </c>
      <c r="I18" s="5" t="s">
        <v>7</v>
      </c>
      <c r="J18" s="6" t="s">
        <v>29</v>
      </c>
      <c r="K18" s="5"/>
      <c r="L18" s="5"/>
      <c r="M18" s="5"/>
      <c r="N18" s="5"/>
      <c r="O18" s="5"/>
      <c r="P18" s="6"/>
      <c r="Q18" s="54"/>
    </row>
    <row r="19" spans="2:18" x14ac:dyDescent="0.25">
      <c r="B19" s="21"/>
      <c r="C19" s="4"/>
      <c r="D19" s="4"/>
      <c r="E19" s="5"/>
      <c r="F19" s="5"/>
      <c r="G19" s="5"/>
      <c r="H19" s="8">
        <f>H17-5000</f>
        <v>-10000</v>
      </c>
      <c r="I19" s="5">
        <f>IF(H19&gt;5000,5000,H19)</f>
        <v>-10000</v>
      </c>
      <c r="J19" s="6">
        <f>IF(I19&gt;0,I19*'National Rate Table'!E11,0)</f>
        <v>0</v>
      </c>
      <c r="K19" s="5"/>
      <c r="L19" s="5"/>
      <c r="M19" s="5"/>
      <c r="N19" s="5"/>
      <c r="O19" s="5"/>
      <c r="P19" s="6"/>
      <c r="Q19" s="54"/>
    </row>
    <row r="20" spans="2:18" x14ac:dyDescent="0.25">
      <c r="B20" s="21"/>
      <c r="C20" s="4"/>
      <c r="D20" s="4"/>
      <c r="E20" s="5" t="s">
        <v>15</v>
      </c>
      <c r="F20" s="5">
        <v>150000</v>
      </c>
      <c r="G20" s="5"/>
      <c r="H20" s="5" t="s">
        <v>30</v>
      </c>
      <c r="I20" s="5" t="s">
        <v>7</v>
      </c>
      <c r="J20" s="6" t="s">
        <v>31</v>
      </c>
      <c r="K20" s="5"/>
      <c r="L20" s="5"/>
      <c r="M20" s="5"/>
      <c r="N20" s="5"/>
      <c r="O20" s="5"/>
      <c r="P20" s="6"/>
      <c r="Q20" s="54"/>
    </row>
    <row r="21" spans="2:18" x14ac:dyDescent="0.25">
      <c r="B21" s="21"/>
      <c r="C21" s="4"/>
      <c r="D21" s="4"/>
      <c r="E21" s="5"/>
      <c r="F21" s="5"/>
      <c r="G21" s="5"/>
      <c r="H21" s="8">
        <f>H19-5000</f>
        <v>-15000</v>
      </c>
      <c r="I21" s="8">
        <f>H21</f>
        <v>-15000</v>
      </c>
      <c r="J21" s="6">
        <f>IF(I21&gt;0,I21*'National Rate Table'!E12,0)</f>
        <v>0</v>
      </c>
      <c r="K21" s="5"/>
      <c r="L21" s="5"/>
      <c r="M21" s="5"/>
      <c r="N21" s="5"/>
      <c r="O21" s="5"/>
      <c r="P21" s="6"/>
      <c r="Q21" s="54"/>
    </row>
    <row r="22" spans="2:18" x14ac:dyDescent="0.25">
      <c r="B22" s="21"/>
      <c r="C22" s="4"/>
      <c r="D22" s="9"/>
      <c r="E22" s="10"/>
      <c r="F22" s="10"/>
      <c r="G22" s="10"/>
      <c r="H22" s="11" t="s">
        <v>33</v>
      </c>
      <c r="I22" s="11">
        <f>SUM(I9:I21)</f>
        <v>-31150</v>
      </c>
      <c r="J22" s="12">
        <f>SUM(J9:J21)</f>
        <v>0</v>
      </c>
      <c r="K22" s="5"/>
      <c r="L22" s="5"/>
      <c r="M22" s="5"/>
      <c r="N22" s="5"/>
      <c r="O22" s="5"/>
      <c r="P22" s="6"/>
      <c r="Q22" s="54"/>
    </row>
    <row r="23" spans="2:18" x14ac:dyDescent="0.25">
      <c r="B23" s="21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  <c r="Q23" s="54"/>
    </row>
    <row r="24" spans="2:18" x14ac:dyDescent="0.25">
      <c r="B24" s="21"/>
      <c r="C24" s="4"/>
      <c r="D24" s="13" t="s">
        <v>61</v>
      </c>
      <c r="E24" s="3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54"/>
    </row>
    <row r="25" spans="2:18" x14ac:dyDescent="0.25">
      <c r="B25" s="21"/>
      <c r="C25" s="4"/>
      <c r="D25" s="4"/>
      <c r="E25" s="6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54"/>
    </row>
    <row r="26" spans="2:18" x14ac:dyDescent="0.25">
      <c r="B26" s="21"/>
      <c r="C26" s="4"/>
      <c r="D26" s="9" t="s">
        <v>57</v>
      </c>
      <c r="E26" s="14">
        <f>ROUNDUP(('National Rates'!I17/1000),0)</f>
        <v>0</v>
      </c>
      <c r="F26" s="5"/>
      <c r="G26" s="5"/>
      <c r="H26" s="8"/>
      <c r="I26" s="5"/>
      <c r="J26" s="5"/>
      <c r="K26" s="5"/>
      <c r="L26" s="5"/>
      <c r="M26" s="5"/>
      <c r="N26" s="5"/>
      <c r="O26" s="5"/>
      <c r="P26" s="6"/>
      <c r="Q26" s="54"/>
    </row>
    <row r="27" spans="2:18" x14ac:dyDescent="0.25">
      <c r="B27" s="21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54"/>
    </row>
    <row r="28" spans="2:18" x14ac:dyDescent="0.25">
      <c r="B28" s="21"/>
      <c r="C28" s="4"/>
      <c r="D28" s="13" t="s">
        <v>66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  <c r="P28" s="6"/>
      <c r="Q28" s="54"/>
    </row>
    <row r="29" spans="2:18" x14ac:dyDescent="0.25">
      <c r="B29" s="21"/>
      <c r="C29" s="4"/>
      <c r="D29" s="4" t="s">
        <v>65</v>
      </c>
      <c r="E29" s="5"/>
      <c r="F29" s="8">
        <f>E26-H9</f>
        <v>0</v>
      </c>
      <c r="G29" s="5"/>
      <c r="H29" s="5"/>
      <c r="I29" s="5"/>
      <c r="J29" s="5"/>
      <c r="K29" s="5"/>
      <c r="L29" s="5"/>
      <c r="M29" s="5"/>
      <c r="N29" s="5"/>
      <c r="O29" s="6"/>
      <c r="P29" s="6"/>
      <c r="Q29" s="54"/>
    </row>
    <row r="30" spans="2:18" x14ac:dyDescent="0.25">
      <c r="B30" s="21"/>
      <c r="C30" s="4"/>
      <c r="D30" s="4"/>
      <c r="E30" s="5"/>
      <c r="F30" s="5"/>
      <c r="G30" s="5" t="s">
        <v>64</v>
      </c>
      <c r="H30" s="5" t="s">
        <v>118</v>
      </c>
      <c r="I30" s="5" t="s">
        <v>117</v>
      </c>
      <c r="J30" s="5" t="s">
        <v>120</v>
      </c>
      <c r="K30" s="17" t="s">
        <v>119</v>
      </c>
      <c r="L30" s="17" t="s">
        <v>122</v>
      </c>
      <c r="M30" s="17" t="s">
        <v>123</v>
      </c>
      <c r="N30" s="5" t="s">
        <v>71</v>
      </c>
      <c r="O30" s="6" t="s">
        <v>72</v>
      </c>
      <c r="P30" s="6"/>
      <c r="Q30" s="54"/>
      <c r="R30" s="52"/>
    </row>
    <row r="31" spans="2:18" x14ac:dyDescent="0.25">
      <c r="B31" s="21"/>
      <c r="C31" s="4"/>
      <c r="D31" s="4">
        <v>1</v>
      </c>
      <c r="E31" s="5">
        <v>0</v>
      </c>
      <c r="F31" s="5">
        <v>50</v>
      </c>
      <c r="G31" s="5" t="b">
        <f>IF(AND(H9&gt;E31,H9&lt;=F31), TRUE, FALSE)</f>
        <v>0</v>
      </c>
      <c r="H31" s="8">
        <v>50</v>
      </c>
      <c r="I31" s="8">
        <f>IF(G31=TRUE,ABS(((F31-H9))),0)</f>
        <v>0</v>
      </c>
      <c r="J31" s="5">
        <v>0</v>
      </c>
      <c r="K31" s="132">
        <v>0</v>
      </c>
      <c r="L31" s="5"/>
      <c r="M31" s="141">
        <v>0</v>
      </c>
      <c r="N31" s="5">
        <f>IF(AND(SUM(J31:J37)&lt;0,G31=TRUE),F29*'National Rate Table'!E6,IF((I31+J31+K31)&lt;0,0,('National Data'!J31+'National Data'!I31+K31)*'National Rate Table'!E6))</f>
        <v>0</v>
      </c>
      <c r="O31" s="6">
        <f t="shared" ref="O31:O37" si="0">N31*1.2</f>
        <v>0</v>
      </c>
      <c r="P31" s="6"/>
      <c r="Q31" s="54"/>
      <c r="R31" s="52"/>
    </row>
    <row r="32" spans="2:18" x14ac:dyDescent="0.25">
      <c r="B32" s="21"/>
      <c r="C32" s="4"/>
      <c r="D32" s="4">
        <v>2</v>
      </c>
      <c r="E32" s="5">
        <v>50</v>
      </c>
      <c r="F32" s="5">
        <v>100</v>
      </c>
      <c r="G32" s="5" t="b">
        <f>IF(AND(H9&gt;E32,H9&lt;=F32), TRUE, FALSE)</f>
        <v>0</v>
      </c>
      <c r="H32" s="8">
        <v>50</v>
      </c>
      <c r="I32" s="8">
        <f>IF(G32=TRUE,ABS((F32-H9)),0)</f>
        <v>0</v>
      </c>
      <c r="J32" s="5">
        <f>IF(I31&gt;0,IF((F29-I31)&gt;H32,H32,F29-I31),0)</f>
        <v>0</v>
      </c>
      <c r="K32" s="132">
        <v>0</v>
      </c>
      <c r="L32" s="132">
        <f>E26-F31</f>
        <v>-50</v>
      </c>
      <c r="M32" s="141">
        <f>IF(AND(L32&gt;0,SUM(I32:K32)=0,G31=TRUE),L32*'National Rate Table'!E7,0)</f>
        <v>0</v>
      </c>
      <c r="N32" s="5">
        <f>IF(AND(SUM(J31:J37)&lt;0,G32=TRUE),F29*'National Rate Table'!E7,IF((I32+J32+K32)&lt;0,0,('National Data'!J32+'National Data'!I32+K32)*'National Rate Table'!E7))</f>
        <v>0</v>
      </c>
      <c r="O32" s="6">
        <f t="shared" si="0"/>
        <v>0</v>
      </c>
      <c r="P32" s="6"/>
      <c r="Q32" s="54"/>
      <c r="R32" s="52"/>
    </row>
    <row r="33" spans="2:18" x14ac:dyDescent="0.25">
      <c r="B33" s="21"/>
      <c r="C33" s="4"/>
      <c r="D33" s="4">
        <v>3</v>
      </c>
      <c r="E33" s="5">
        <v>100</v>
      </c>
      <c r="F33" s="5">
        <v>1000</v>
      </c>
      <c r="G33" s="5" t="b">
        <f>IF(AND(H9&gt;E33,H9&lt;=F33), TRUE, FALSE)</f>
        <v>0</v>
      </c>
      <c r="H33" s="8">
        <v>900</v>
      </c>
      <c r="I33" s="8">
        <f>IF(G33=TRUE,ABS((F33-H9)),0)</f>
        <v>0</v>
      </c>
      <c r="J33" s="5">
        <f>IF(I32&gt;0,IF((F29-I32)&gt;H33,H33,F29-I32),0)</f>
        <v>0</v>
      </c>
      <c r="K33" s="132">
        <f>IF(AND((J32+I31)&lt;F29,(J32+I31)&gt;0),F29-(J32+I31),0)</f>
        <v>0</v>
      </c>
      <c r="L33" s="132">
        <f>E26-F32</f>
        <v>-100</v>
      </c>
      <c r="M33" s="141">
        <f>IF(AND(L33&gt;0,SUM(I33:K33)=0,G32=TRUE),L33*'National Rate Table'!E8,0)</f>
        <v>0</v>
      </c>
      <c r="N33" s="5">
        <f>IF(AND(SUM(J31:J37)&lt;0,G33=TRUE),F29*'National Rate Table'!E8,IF((I33+J33+K33)&lt;0,0,('National Data'!J33+'National Data'!I33+K33)*'National Rate Table'!E8))</f>
        <v>0</v>
      </c>
      <c r="O33" s="6">
        <f t="shared" si="0"/>
        <v>0</v>
      </c>
      <c r="P33" s="6"/>
      <c r="Q33" s="54"/>
      <c r="R33" s="52"/>
    </row>
    <row r="34" spans="2:18" x14ac:dyDescent="0.25">
      <c r="B34" s="21"/>
      <c r="C34" s="4"/>
      <c r="D34" s="4">
        <v>4</v>
      </c>
      <c r="E34" s="5">
        <v>1000</v>
      </c>
      <c r="F34" s="5">
        <v>5000</v>
      </c>
      <c r="G34" s="5" t="b">
        <f>IF(AND(H9&gt;E34,H9&lt;=F34), TRUE, FALSE)</f>
        <v>0</v>
      </c>
      <c r="H34" s="8">
        <v>4000</v>
      </c>
      <c r="I34" s="8">
        <f>IF(G34=TRUE,ABS((F34-H9)),0)</f>
        <v>0</v>
      </c>
      <c r="J34" s="5">
        <f>IF(I33&gt;0,IF((F29-I33)&gt;H34,H34,F29-I33),0)</f>
        <v>0</v>
      </c>
      <c r="K34" s="132">
        <f>IF(AND((J33+I32)&lt;F29,(J33+I32)&gt;0),F29-(J33+I32),0)</f>
        <v>0</v>
      </c>
      <c r="L34" s="132">
        <f>E26-F33</f>
        <v>-1000</v>
      </c>
      <c r="M34" s="141">
        <f>IF(AND(L34&gt;0,SUM(I34:K34)=0,G33=TRUE),L34*'National Rate Table'!E9,0)</f>
        <v>0</v>
      </c>
      <c r="N34" s="5">
        <f>IF(AND(SUM(J31:J37)&lt;0,G34=TRUE),F29*'National Rate Table'!E9,IF((I34+J34+K34)&lt;0,0,('National Data'!J34+'National Data'!I34+K34)*'National Rate Table'!E9))</f>
        <v>0</v>
      </c>
      <c r="O34" s="6">
        <f t="shared" si="0"/>
        <v>0</v>
      </c>
      <c r="P34" s="6"/>
      <c r="Q34" s="54"/>
      <c r="R34" s="52"/>
    </row>
    <row r="35" spans="2:18" x14ac:dyDescent="0.25">
      <c r="B35" s="21"/>
      <c r="C35" s="4"/>
      <c r="D35" s="4">
        <v>5</v>
      </c>
      <c r="E35" s="5">
        <v>5000</v>
      </c>
      <c r="F35" s="5">
        <v>10000</v>
      </c>
      <c r="G35" s="5" t="b">
        <f>IF(AND(H9&gt;E35,H9&lt;=F35), TRUE, FALSE)</f>
        <v>0</v>
      </c>
      <c r="H35" s="8">
        <v>5000</v>
      </c>
      <c r="I35" s="8">
        <f>IF(G35=TRUE,ABS((F35-H9)),0)</f>
        <v>0</v>
      </c>
      <c r="J35" s="5">
        <f>IF(I34&gt;0,IF((F29-I34)&gt;H35,H35,F29-I34),0)</f>
        <v>0</v>
      </c>
      <c r="K35" s="132">
        <f>IF(AND((J34+I33)&lt;F29,(J34+I33)&gt;0),F29-(J34+I33),0)</f>
        <v>0</v>
      </c>
      <c r="L35" s="132">
        <f>E26-F34</f>
        <v>-5000</v>
      </c>
      <c r="M35" s="141">
        <f>IF(AND(L35&gt;0,SUM(I35:K35)=0,G34=TRUE),L35*'National Rate Table'!E10,0)</f>
        <v>0</v>
      </c>
      <c r="N35" s="5">
        <f>IF(AND(SUM(J31:J37)&lt;0,G35=TRUE),F29*'National Rate Table'!E10,IF((I35+J35+K35)&lt;0,0,('National Data'!J35+'National Data'!I35+K35)*'National Rate Table'!E10))</f>
        <v>0</v>
      </c>
      <c r="O35" s="6">
        <f t="shared" si="0"/>
        <v>0</v>
      </c>
      <c r="P35" s="6"/>
      <c r="Q35" s="54"/>
      <c r="R35" s="52"/>
    </row>
    <row r="36" spans="2:18" x14ac:dyDescent="0.25">
      <c r="B36" s="21"/>
      <c r="C36" s="4"/>
      <c r="D36" s="4">
        <v>6</v>
      </c>
      <c r="E36" s="5">
        <v>10000</v>
      </c>
      <c r="F36" s="5">
        <v>15000</v>
      </c>
      <c r="G36" s="5" t="b">
        <f>IF(AND(H9&gt;E36,H9&lt;=F36), TRUE, FALSE)</f>
        <v>0</v>
      </c>
      <c r="H36" s="8">
        <v>5000</v>
      </c>
      <c r="I36" s="8">
        <f>IF(G36=TRUE,ABS((F36-H9)),0)</f>
        <v>0</v>
      </c>
      <c r="J36" s="5">
        <f>IF(I35&gt;0,IF((F29-I35)&gt;H36,H36,F29-I35),0)</f>
        <v>0</v>
      </c>
      <c r="K36" s="132">
        <f>IF(AND((J35+I34)&lt;F29,(J35+I34)&gt;0),F29-(J35+I34),0)</f>
        <v>0</v>
      </c>
      <c r="L36" s="132">
        <f>E26-F35</f>
        <v>-10000</v>
      </c>
      <c r="M36" s="141">
        <f>IF(AND(L36&gt;0,SUM(I36:K36)=0,G35=TRUE),L36*'National Rate Table'!E11,0)</f>
        <v>0</v>
      </c>
      <c r="N36" s="5">
        <f>IF(AND(SUM(J31:J37)&lt;0,G36=TRUE),F29*'National Rate Table'!E11,IF((I36+J36+K36)&lt;0,0,('National Data'!J36+'National Data'!I36+K36)*'National Rate Table'!E11))</f>
        <v>0</v>
      </c>
      <c r="O36" s="6">
        <f t="shared" si="0"/>
        <v>0</v>
      </c>
      <c r="P36" s="6"/>
      <c r="Q36" s="54"/>
      <c r="R36" s="52"/>
    </row>
    <row r="37" spans="2:18" x14ac:dyDescent="0.25">
      <c r="B37" s="21"/>
      <c r="C37" s="4"/>
      <c r="D37" s="4">
        <v>7</v>
      </c>
      <c r="E37" s="5">
        <v>15000</v>
      </c>
      <c r="F37" s="5"/>
      <c r="G37" s="5" t="b">
        <f>IF(H9&gt;E37, TRUE, FALSE)</f>
        <v>0</v>
      </c>
      <c r="H37" s="8"/>
      <c r="I37" s="8">
        <f>IF(G37=TRUE,F29,0)</f>
        <v>0</v>
      </c>
      <c r="J37" s="5">
        <f>IF(I36&gt;0,IF((F29-I36)&gt;H37,H37,F29-I36),0)</f>
        <v>0</v>
      </c>
      <c r="K37" s="132">
        <f>IF(AND((J36+I35)&lt;F29,(J36+I35)&gt;0),F29-(J36+I35),0)</f>
        <v>0</v>
      </c>
      <c r="L37" s="132">
        <f>E26-F36</f>
        <v>-15000</v>
      </c>
      <c r="M37" s="141">
        <f>IF(AND(L37&gt;0,SUM(I37:K37)=0,G36=TRUE),L37*'National Rate Table'!E12,0)</f>
        <v>0</v>
      </c>
      <c r="N37" s="5">
        <f>IF(AND(SUM(J31:J37)&lt;0,G37=TRUE),F29*'National Rate Table'!E12,IF((I37+J37+K37)&lt;0,0,('National Data'!J37+'National Data'!I37+K37)*'National Rate Table'!E12))</f>
        <v>0</v>
      </c>
      <c r="O37" s="6">
        <f t="shared" si="0"/>
        <v>0</v>
      </c>
      <c r="P37" s="6"/>
      <c r="Q37" s="54"/>
      <c r="R37" s="52"/>
    </row>
    <row r="38" spans="2:18" x14ac:dyDescent="0.25">
      <c r="B38" s="21"/>
      <c r="C38" s="4"/>
      <c r="D38" s="4"/>
      <c r="E38" s="5"/>
      <c r="F38" s="5" t="s">
        <v>68</v>
      </c>
      <c r="G38" s="5"/>
      <c r="H38" s="5"/>
      <c r="I38" s="5"/>
      <c r="J38" s="5"/>
      <c r="K38" s="5"/>
      <c r="L38" s="132"/>
      <c r="M38" s="132"/>
      <c r="N38" s="204">
        <f>IF(SUM(N31:N37)&lt;0,0,((SUM(N31:N37)+SUM(M31:M37))))*0.7</f>
        <v>0</v>
      </c>
      <c r="O38" s="203">
        <f>N38*1.2</f>
        <v>0</v>
      </c>
      <c r="P38" s="6"/>
      <c r="Q38" s="54"/>
      <c r="R38" s="52"/>
    </row>
    <row r="39" spans="2:18" x14ac:dyDescent="0.25">
      <c r="B39" s="21"/>
      <c r="C39" s="4"/>
      <c r="D39" s="4"/>
      <c r="E39" s="5"/>
      <c r="F39" s="5" t="s">
        <v>69</v>
      </c>
      <c r="G39" s="5"/>
      <c r="H39" s="5"/>
      <c r="I39" s="5"/>
      <c r="J39" s="5"/>
      <c r="K39" s="5"/>
      <c r="L39" s="5"/>
      <c r="M39" s="5"/>
      <c r="N39" s="15">
        <f>IF(E26&gt;0,35,0)</f>
        <v>0</v>
      </c>
      <c r="O39" s="16">
        <f>IF(E26&gt;0,35,0)</f>
        <v>0</v>
      </c>
      <c r="P39" s="6"/>
      <c r="Q39" s="54"/>
      <c r="R39" s="52"/>
    </row>
    <row r="40" spans="2:18" x14ac:dyDescent="0.25">
      <c r="B40" s="21"/>
      <c r="C40" s="4"/>
      <c r="D40" s="9"/>
      <c r="E40" s="10"/>
      <c r="F40" s="10" t="s">
        <v>70</v>
      </c>
      <c r="G40" s="10"/>
      <c r="H40" s="10"/>
      <c r="I40" s="10"/>
      <c r="J40" s="10"/>
      <c r="K40" s="10"/>
      <c r="L40" s="10"/>
      <c r="M40" s="10"/>
      <c r="N40" s="205">
        <f>N39+N38</f>
        <v>0</v>
      </c>
      <c r="O40" s="12">
        <f>O39+O38</f>
        <v>0</v>
      </c>
      <c r="P40" s="6"/>
      <c r="Q40" s="54"/>
      <c r="R40" s="52"/>
    </row>
    <row r="41" spans="2:18" x14ac:dyDescent="0.25">
      <c r="B41" s="21"/>
      <c r="C41" s="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  <c r="Q41" s="54"/>
      <c r="R41" s="52"/>
    </row>
    <row r="42" spans="2:18" x14ac:dyDescent="0.25">
      <c r="B42" s="21"/>
      <c r="C42" s="4"/>
      <c r="D42" s="13" t="s">
        <v>75</v>
      </c>
      <c r="E42" s="2"/>
      <c r="F42" s="2"/>
      <c r="G42" s="2"/>
      <c r="H42" s="2"/>
      <c r="I42" s="2"/>
      <c r="J42" s="2"/>
      <c r="K42" s="3"/>
      <c r="L42" s="5"/>
      <c r="M42" s="5"/>
      <c r="N42" s="5"/>
      <c r="O42" s="5"/>
      <c r="P42" s="6"/>
      <c r="Q42" s="54"/>
    </row>
    <row r="43" spans="2:18" x14ac:dyDescent="0.25">
      <c r="B43" s="21"/>
      <c r="C43" s="4"/>
      <c r="D43" s="4"/>
      <c r="E43" s="5"/>
      <c r="F43" s="5" t="s">
        <v>62</v>
      </c>
      <c r="G43" s="5" t="s">
        <v>63</v>
      </c>
      <c r="H43" s="5"/>
      <c r="I43" s="5"/>
      <c r="J43" s="5"/>
      <c r="K43" s="6"/>
      <c r="L43" s="5"/>
      <c r="M43" s="5"/>
      <c r="N43" s="5"/>
      <c r="O43" s="5"/>
      <c r="P43" s="6"/>
      <c r="Q43" s="54"/>
    </row>
    <row r="44" spans="2:18" x14ac:dyDescent="0.25">
      <c r="B44" s="21"/>
      <c r="C44" s="4"/>
      <c r="D44" s="4" t="s">
        <v>0</v>
      </c>
      <c r="E44" s="5"/>
      <c r="F44" s="5">
        <v>0</v>
      </c>
      <c r="G44" s="5">
        <v>49</v>
      </c>
      <c r="H44" s="5" t="s">
        <v>1</v>
      </c>
      <c r="I44" s="5" t="s">
        <v>32</v>
      </c>
      <c r="J44" s="5" t="s">
        <v>3</v>
      </c>
      <c r="K44" s="19" t="s">
        <v>76</v>
      </c>
      <c r="L44" s="17"/>
      <c r="M44" s="17"/>
      <c r="N44" s="5"/>
      <c r="O44" s="5"/>
      <c r="P44" s="6"/>
      <c r="Q44" s="54"/>
    </row>
    <row r="45" spans="2:18" x14ac:dyDescent="0.25">
      <c r="B45" s="21"/>
      <c r="C45" s="4"/>
      <c r="D45" s="7">
        <f>IF('National Rates'!I15&gt;'National Rates'!I13,'National Rates'!I13,'National Rates'!I15)</f>
        <v>0</v>
      </c>
      <c r="E45" s="5"/>
      <c r="F45" s="5"/>
      <c r="G45" s="5"/>
      <c r="H45" s="8">
        <f>ROUNDUP((D45/1000),0)</f>
        <v>0</v>
      </c>
      <c r="I45" s="5">
        <f>IF(H45&lt;50,H45,50)</f>
        <v>0</v>
      </c>
      <c r="J45" s="5">
        <f>IF(I45&gt;0,I45*'National Rate Table'!E6,0)</f>
        <v>0</v>
      </c>
      <c r="K45" s="6">
        <f>J45*1.2</f>
        <v>0</v>
      </c>
      <c r="L45" s="5"/>
      <c r="M45" s="5"/>
      <c r="N45" s="5"/>
      <c r="O45" s="5"/>
      <c r="P45" s="6"/>
      <c r="Q45" s="54"/>
    </row>
    <row r="46" spans="2:18" x14ac:dyDescent="0.25">
      <c r="B46" s="21"/>
      <c r="C46" s="4"/>
      <c r="D46" s="4"/>
      <c r="E46" s="5" t="s">
        <v>23</v>
      </c>
      <c r="F46" s="5">
        <v>50</v>
      </c>
      <c r="G46" s="5">
        <v>100</v>
      </c>
      <c r="H46" s="5" t="s">
        <v>2</v>
      </c>
      <c r="I46" s="5" t="s">
        <v>7</v>
      </c>
      <c r="J46" s="5" t="s">
        <v>8</v>
      </c>
      <c r="K46" s="6"/>
      <c r="L46" s="5"/>
      <c r="M46" s="5"/>
      <c r="N46" s="5"/>
      <c r="O46" s="5"/>
      <c r="P46" s="6"/>
      <c r="Q46" s="54"/>
    </row>
    <row r="47" spans="2:18" x14ac:dyDescent="0.25">
      <c r="B47" s="21"/>
      <c r="C47" s="4"/>
      <c r="D47" s="4"/>
      <c r="E47" s="5"/>
      <c r="F47" s="5"/>
      <c r="G47" s="5"/>
      <c r="H47" s="8">
        <f>H45-50</f>
        <v>-50</v>
      </c>
      <c r="I47" s="8">
        <f>IF(H47&gt;50,50,H47)</f>
        <v>-50</v>
      </c>
      <c r="J47" s="5">
        <f>IF(I47&gt;0,I47*'National Rate Table'!E7,0)</f>
        <v>0</v>
      </c>
      <c r="K47" s="6">
        <f>J47*1.2</f>
        <v>0</v>
      </c>
      <c r="L47" s="5"/>
      <c r="M47" s="5"/>
      <c r="N47" s="5"/>
      <c r="O47" s="5"/>
      <c r="P47" s="6"/>
      <c r="Q47" s="54"/>
    </row>
    <row r="48" spans="2:18" x14ac:dyDescent="0.25">
      <c r="B48" s="21"/>
      <c r="C48" s="4"/>
      <c r="D48" s="4"/>
      <c r="E48" s="5" t="s">
        <v>24</v>
      </c>
      <c r="F48" s="5">
        <v>100</v>
      </c>
      <c r="G48" s="5">
        <v>1000</v>
      </c>
      <c r="H48" s="5" t="s">
        <v>9</v>
      </c>
      <c r="I48" s="5" t="s">
        <v>7</v>
      </c>
      <c r="J48" s="5" t="s">
        <v>10</v>
      </c>
      <c r="K48" s="6"/>
      <c r="L48" s="5"/>
      <c r="M48" s="5"/>
      <c r="N48" s="5"/>
      <c r="O48" s="5"/>
      <c r="P48" s="6"/>
      <c r="Q48" s="54"/>
    </row>
    <row r="49" spans="2:17" x14ac:dyDescent="0.25">
      <c r="B49" s="21"/>
      <c r="C49" s="4"/>
      <c r="D49" s="4"/>
      <c r="E49" s="5"/>
      <c r="F49" s="5"/>
      <c r="G49" s="5"/>
      <c r="H49" s="8">
        <f>H47-50</f>
        <v>-100</v>
      </c>
      <c r="I49" s="5">
        <f>IF(H49&gt;900,900,H49)</f>
        <v>-100</v>
      </c>
      <c r="J49" s="5">
        <f>IF(I49&gt;0,I49*'National Rate Table'!E8,0)</f>
        <v>0</v>
      </c>
      <c r="K49" s="6">
        <f>J49*1.2</f>
        <v>0</v>
      </c>
      <c r="L49" s="5"/>
      <c r="M49" s="5"/>
      <c r="N49" s="5"/>
      <c r="O49" s="5"/>
      <c r="P49" s="6"/>
      <c r="Q49" s="54"/>
    </row>
    <row r="50" spans="2:17" x14ac:dyDescent="0.25">
      <c r="B50" s="21"/>
      <c r="C50" s="4"/>
      <c r="D50" s="4"/>
      <c r="E50" s="5" t="s">
        <v>26</v>
      </c>
      <c r="F50" s="5">
        <v>1000</v>
      </c>
      <c r="G50" s="5">
        <v>5000</v>
      </c>
      <c r="H50" s="5" t="s">
        <v>16</v>
      </c>
      <c r="I50" s="5" t="s">
        <v>7</v>
      </c>
      <c r="J50" s="5" t="s">
        <v>21</v>
      </c>
      <c r="K50" s="6"/>
      <c r="L50" s="5"/>
      <c r="M50" s="5"/>
      <c r="N50" s="5"/>
      <c r="O50" s="5"/>
      <c r="P50" s="6"/>
      <c r="Q50" s="54"/>
    </row>
    <row r="51" spans="2:17" x14ac:dyDescent="0.25">
      <c r="B51" s="21"/>
      <c r="C51" s="4"/>
      <c r="D51" s="4"/>
      <c r="E51" s="5"/>
      <c r="F51" s="5"/>
      <c r="G51" s="5"/>
      <c r="H51" s="8">
        <f>H49-900</f>
        <v>-1000</v>
      </c>
      <c r="I51" s="5">
        <f>IF(H51&gt;4000,4000,H51)</f>
        <v>-1000</v>
      </c>
      <c r="J51" s="5">
        <f>IF(I51&gt;0,I51*'National Rate Table'!E9,0)</f>
        <v>0</v>
      </c>
      <c r="K51" s="6">
        <f>J51*1.2</f>
        <v>0</v>
      </c>
      <c r="L51" s="5"/>
      <c r="M51" s="5"/>
      <c r="N51" s="5"/>
      <c r="O51" s="5"/>
      <c r="P51" s="6"/>
      <c r="Q51" s="54"/>
    </row>
    <row r="52" spans="2:17" x14ac:dyDescent="0.25">
      <c r="B52" s="21"/>
      <c r="C52" s="4"/>
      <c r="D52" s="4"/>
      <c r="E52" s="5" t="s">
        <v>25</v>
      </c>
      <c r="F52" s="5">
        <v>5000</v>
      </c>
      <c r="G52" s="5">
        <v>10000</v>
      </c>
      <c r="H52" s="5" t="s">
        <v>20</v>
      </c>
      <c r="I52" s="5" t="s">
        <v>7</v>
      </c>
      <c r="J52" s="5" t="s">
        <v>22</v>
      </c>
      <c r="K52" s="6"/>
      <c r="L52" s="5"/>
      <c r="M52" s="5"/>
      <c r="N52" s="5"/>
      <c r="O52" s="5"/>
      <c r="P52" s="6"/>
      <c r="Q52" s="54"/>
    </row>
    <row r="53" spans="2:17" x14ac:dyDescent="0.25">
      <c r="B53" s="21"/>
      <c r="C53" s="4"/>
      <c r="D53" s="4"/>
      <c r="E53" s="5"/>
      <c r="F53" s="5"/>
      <c r="G53" s="5"/>
      <c r="H53" s="8">
        <f>H51-4000</f>
        <v>-5000</v>
      </c>
      <c r="I53" s="5">
        <f>IF(H53&gt;5000,5000,H53)</f>
        <v>-5000</v>
      </c>
      <c r="J53" s="5">
        <f>IF(I53&gt;0,I53*'National Rate Table'!E10, 0)</f>
        <v>0</v>
      </c>
      <c r="K53" s="6">
        <f>J53*1.2</f>
        <v>0</v>
      </c>
      <c r="L53" s="5"/>
      <c r="M53" s="5"/>
      <c r="N53" s="5"/>
      <c r="O53" s="5"/>
      <c r="P53" s="6"/>
      <c r="Q53" s="54"/>
    </row>
    <row r="54" spans="2:17" x14ac:dyDescent="0.25">
      <c r="B54" s="21"/>
      <c r="C54" s="4"/>
      <c r="D54" s="4"/>
      <c r="E54" s="5" t="s">
        <v>27</v>
      </c>
      <c r="F54" s="5">
        <v>10000</v>
      </c>
      <c r="G54" s="5">
        <v>15000</v>
      </c>
      <c r="H54" s="5" t="s">
        <v>28</v>
      </c>
      <c r="I54" s="5" t="s">
        <v>7</v>
      </c>
      <c r="J54" s="5" t="s">
        <v>29</v>
      </c>
      <c r="K54" s="6"/>
      <c r="L54" s="5"/>
      <c r="M54" s="5"/>
      <c r="N54" s="5"/>
      <c r="O54" s="5"/>
      <c r="P54" s="6"/>
      <c r="Q54" s="54"/>
    </row>
    <row r="55" spans="2:17" x14ac:dyDescent="0.25">
      <c r="B55" s="21"/>
      <c r="C55" s="4"/>
      <c r="D55" s="4"/>
      <c r="E55" s="5"/>
      <c r="F55" s="5"/>
      <c r="G55" s="5"/>
      <c r="H55" s="8">
        <f>H53-5000</f>
        <v>-10000</v>
      </c>
      <c r="I55" s="5">
        <f>IF(H55&gt;5000,5000,H55)</f>
        <v>-10000</v>
      </c>
      <c r="J55" s="5">
        <f>IF(I55&gt;0,I55*'National Rate Table'!E11,0)</f>
        <v>0</v>
      </c>
      <c r="K55" s="6">
        <f>J55*1.2</f>
        <v>0</v>
      </c>
      <c r="L55" s="5"/>
      <c r="M55" s="5"/>
      <c r="N55" s="5"/>
      <c r="O55" s="5"/>
      <c r="P55" s="6"/>
      <c r="Q55" s="54"/>
    </row>
    <row r="56" spans="2:17" x14ac:dyDescent="0.25">
      <c r="B56" s="21"/>
      <c r="C56" s="4"/>
      <c r="D56" s="4"/>
      <c r="E56" s="5" t="s">
        <v>15</v>
      </c>
      <c r="F56" s="5">
        <v>15000</v>
      </c>
      <c r="G56" s="5"/>
      <c r="H56" s="5" t="s">
        <v>30</v>
      </c>
      <c r="I56" s="5" t="s">
        <v>7</v>
      </c>
      <c r="J56" s="5" t="s">
        <v>31</v>
      </c>
      <c r="K56" s="6"/>
      <c r="L56" s="5"/>
      <c r="M56" s="5"/>
      <c r="N56" s="5"/>
      <c r="O56" s="5"/>
      <c r="P56" s="6"/>
      <c r="Q56" s="54"/>
    </row>
    <row r="57" spans="2:17" x14ac:dyDescent="0.25">
      <c r="B57" s="21"/>
      <c r="C57" s="4"/>
      <c r="D57" s="4"/>
      <c r="E57" s="5"/>
      <c r="F57" s="5"/>
      <c r="G57" s="5"/>
      <c r="H57" s="8">
        <f>H55-5000</f>
        <v>-15000</v>
      </c>
      <c r="I57" s="8">
        <f>H57</f>
        <v>-15000</v>
      </c>
      <c r="J57" s="5">
        <f>IF(I57&gt;0,I57*'National Rate Table'!E12,0)</f>
        <v>0</v>
      </c>
      <c r="K57" s="6">
        <f>J57*1.2</f>
        <v>0</v>
      </c>
      <c r="L57" s="5"/>
      <c r="M57" s="5"/>
      <c r="N57" s="5"/>
      <c r="O57" s="5"/>
      <c r="P57" s="6"/>
      <c r="Q57" s="54"/>
    </row>
    <row r="58" spans="2:17" x14ac:dyDescent="0.25">
      <c r="B58" s="21"/>
      <c r="C58" s="4"/>
      <c r="D58" s="4"/>
      <c r="E58" s="5"/>
      <c r="F58" s="5"/>
      <c r="G58" s="5"/>
      <c r="H58" s="15" t="s">
        <v>33</v>
      </c>
      <c r="I58" s="15">
        <f>SUM(I45:I57)</f>
        <v>-31150</v>
      </c>
      <c r="J58" s="15">
        <f>IF(SUM(J45:J57)&lt;150,150,SUM(J45:J57))</f>
        <v>150</v>
      </c>
      <c r="K58" s="15">
        <f>IF(SUM(K45:K57)&lt;150,150,SUM(K45:K57))</f>
        <v>150</v>
      </c>
      <c r="L58" s="15"/>
      <c r="M58" s="15"/>
      <c r="N58" s="5"/>
      <c r="O58" s="5"/>
      <c r="P58" s="6"/>
      <c r="Q58" s="54"/>
    </row>
    <row r="59" spans="2:17" x14ac:dyDescent="0.25">
      <c r="B59" s="21"/>
      <c r="C59" s="4"/>
      <c r="D59" s="9"/>
      <c r="E59" s="10"/>
      <c r="F59" s="10"/>
      <c r="G59" s="10"/>
      <c r="H59" s="11" t="s">
        <v>74</v>
      </c>
      <c r="I59" s="10"/>
      <c r="J59" s="11">
        <f>IF(SUM(J45:J57)=0,0,J58*0.3)</f>
        <v>0</v>
      </c>
      <c r="K59" s="11">
        <f>IF(SUM(K45:K57)=0,0,K58*0.3)</f>
        <v>0</v>
      </c>
      <c r="L59" s="15"/>
      <c r="M59" s="15"/>
      <c r="N59" s="5"/>
      <c r="O59" s="5"/>
      <c r="P59" s="6"/>
      <c r="Q59" s="54"/>
    </row>
    <row r="60" spans="2:17" x14ac:dyDescent="0.25">
      <c r="B60" s="21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20"/>
      <c r="Q60" s="54"/>
    </row>
    <row r="61" spans="2:17" x14ac:dyDescent="0.25">
      <c r="B61" s="2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4"/>
    </row>
    <row r="62" spans="2:17" x14ac:dyDescent="0.25">
      <c r="B62" s="21"/>
      <c r="C62" s="1" t="s">
        <v>82</v>
      </c>
      <c r="D62" s="2"/>
      <c r="E62" s="2"/>
      <c r="F62" s="2"/>
      <c r="G62" s="2"/>
      <c r="H62" s="2"/>
      <c r="I62" s="2"/>
      <c r="J62" s="2"/>
      <c r="K62" s="2"/>
      <c r="L62" s="3"/>
      <c r="M62" s="5"/>
      <c r="N62" s="5"/>
      <c r="O62" s="5"/>
      <c r="P62" s="5"/>
      <c r="Q62" s="54"/>
    </row>
    <row r="63" spans="2:17" x14ac:dyDescent="0.25">
      <c r="B63" s="21"/>
      <c r="C63" s="4"/>
      <c r="D63" s="1" t="s">
        <v>83</v>
      </c>
      <c r="E63" s="2"/>
      <c r="F63" s="2"/>
      <c r="G63" s="2"/>
      <c r="H63" s="2"/>
      <c r="I63" s="2"/>
      <c r="J63" s="3"/>
      <c r="K63" s="5"/>
      <c r="L63" s="6"/>
      <c r="M63" s="5"/>
      <c r="N63" s="5"/>
      <c r="O63" s="5"/>
      <c r="P63" s="5"/>
      <c r="Q63" s="54"/>
    </row>
    <row r="64" spans="2:17" x14ac:dyDescent="0.25">
      <c r="B64" s="21"/>
      <c r="C64" s="4"/>
      <c r="D64" s="4"/>
      <c r="E64" s="5"/>
      <c r="F64" s="5" t="s">
        <v>62</v>
      </c>
      <c r="G64" s="5" t="s">
        <v>63</v>
      </c>
      <c r="H64" s="5"/>
      <c r="I64" s="5"/>
      <c r="J64" s="6"/>
      <c r="K64" s="5"/>
      <c r="L64" s="6"/>
      <c r="M64" s="5"/>
      <c r="N64" s="5"/>
      <c r="O64" s="5"/>
      <c r="P64" s="5"/>
      <c r="Q64" s="54"/>
    </row>
    <row r="65" spans="2:17" x14ac:dyDescent="0.25">
      <c r="B65" s="21"/>
      <c r="C65" s="4"/>
      <c r="D65" s="4" t="s">
        <v>0</v>
      </c>
      <c r="E65" s="5"/>
      <c r="F65" s="5">
        <v>0</v>
      </c>
      <c r="G65" s="5">
        <v>49</v>
      </c>
      <c r="H65" s="5" t="s">
        <v>1</v>
      </c>
      <c r="I65" s="5" t="s">
        <v>32</v>
      </c>
      <c r="J65" s="6" t="s">
        <v>3</v>
      </c>
      <c r="K65" s="5"/>
      <c r="L65" s="6"/>
      <c r="M65" s="5"/>
      <c r="N65" s="5"/>
      <c r="O65" s="5"/>
      <c r="P65" s="5"/>
      <c r="Q65" s="54"/>
    </row>
    <row r="66" spans="2:17" x14ac:dyDescent="0.25">
      <c r="B66" s="21"/>
      <c r="C66" s="4"/>
      <c r="D66" s="7">
        <f>'National Rates'!T15</f>
        <v>0</v>
      </c>
      <c r="E66" s="5"/>
      <c r="F66" s="5"/>
      <c r="G66" s="5"/>
      <c r="H66" s="8">
        <f>ROUNDUP((D66/1000),0)</f>
        <v>0</v>
      </c>
      <c r="I66" s="8">
        <f>IF(H66&lt;50,H66,50)</f>
        <v>0</v>
      </c>
      <c r="J66" s="6">
        <f>IF(H66&gt;35,I66*'National Rate Table'!E6,150)</f>
        <v>150</v>
      </c>
      <c r="K66" s="5"/>
      <c r="L66" s="6"/>
      <c r="M66" s="5"/>
      <c r="N66" s="5"/>
      <c r="O66" s="5"/>
      <c r="P66" s="5"/>
      <c r="Q66" s="54"/>
    </row>
    <row r="67" spans="2:17" x14ac:dyDescent="0.25">
      <c r="B67" s="21"/>
      <c r="C67" s="4"/>
      <c r="D67" s="4"/>
      <c r="E67" s="5" t="s">
        <v>23</v>
      </c>
      <c r="F67" s="5">
        <v>50</v>
      </c>
      <c r="G67" s="5">
        <v>100</v>
      </c>
      <c r="H67" s="5" t="s">
        <v>2</v>
      </c>
      <c r="I67" s="5" t="s">
        <v>7</v>
      </c>
      <c r="J67" s="6" t="s">
        <v>8</v>
      </c>
      <c r="K67" s="5"/>
      <c r="L67" s="6"/>
      <c r="M67" s="5"/>
      <c r="N67" s="5"/>
      <c r="O67" s="5"/>
      <c r="P67" s="5"/>
      <c r="Q67" s="54"/>
    </row>
    <row r="68" spans="2:17" x14ac:dyDescent="0.25">
      <c r="B68" s="21"/>
      <c r="C68" s="4"/>
      <c r="D68" s="4"/>
      <c r="E68" s="5"/>
      <c r="F68" s="5"/>
      <c r="G68" s="5"/>
      <c r="H68" s="8">
        <f>H66-50</f>
        <v>-50</v>
      </c>
      <c r="I68" s="8">
        <f>IF(H68&gt;50,50,H68)</f>
        <v>-50</v>
      </c>
      <c r="J68" s="6">
        <f>IF(I68&gt;0,I68*'National Rate Table'!E7,0)</f>
        <v>0</v>
      </c>
      <c r="K68" s="5"/>
      <c r="L68" s="6"/>
      <c r="M68" s="5"/>
      <c r="N68" s="5"/>
      <c r="O68" s="5"/>
      <c r="P68" s="5"/>
      <c r="Q68" s="54"/>
    </row>
    <row r="69" spans="2:17" x14ac:dyDescent="0.25">
      <c r="B69" s="21"/>
      <c r="C69" s="4"/>
      <c r="D69" s="4"/>
      <c r="E69" s="5" t="s">
        <v>24</v>
      </c>
      <c r="F69" s="5">
        <v>101</v>
      </c>
      <c r="G69" s="5">
        <v>1000</v>
      </c>
      <c r="H69" s="5" t="s">
        <v>9</v>
      </c>
      <c r="I69" s="5" t="s">
        <v>7</v>
      </c>
      <c r="J69" s="6" t="s">
        <v>10</v>
      </c>
      <c r="K69" s="5"/>
      <c r="L69" s="6"/>
      <c r="M69" s="5"/>
      <c r="N69" s="5"/>
      <c r="O69" s="5"/>
      <c r="P69" s="5"/>
      <c r="Q69" s="54"/>
    </row>
    <row r="70" spans="2:17" x14ac:dyDescent="0.25">
      <c r="B70" s="21"/>
      <c r="C70" s="4"/>
      <c r="D70" s="4" t="s">
        <v>53</v>
      </c>
      <c r="E70" s="5"/>
      <c r="F70" s="5"/>
      <c r="G70" s="5"/>
      <c r="H70" s="8">
        <f>H68-50</f>
        <v>-100</v>
      </c>
      <c r="I70" s="5">
        <f>IF(H70&gt;900,900,H70)</f>
        <v>-100</v>
      </c>
      <c r="J70" s="6">
        <f>IF(I70&gt;0,I70*'National Rate Table'!E8,0)</f>
        <v>0</v>
      </c>
      <c r="K70" s="5"/>
      <c r="L70" s="6"/>
      <c r="M70" s="5"/>
      <c r="N70" s="5"/>
      <c r="O70" s="5"/>
      <c r="P70" s="5"/>
      <c r="Q70" s="54"/>
    </row>
    <row r="71" spans="2:17" x14ac:dyDescent="0.25">
      <c r="B71" s="21"/>
      <c r="C71" s="4"/>
      <c r="D71" s="4">
        <f>IF(J79&lt;150,150,J79)</f>
        <v>150</v>
      </c>
      <c r="E71" s="5" t="s">
        <v>26</v>
      </c>
      <c r="F71" s="5">
        <v>1001</v>
      </c>
      <c r="G71" s="5">
        <v>5000</v>
      </c>
      <c r="H71" s="5" t="s">
        <v>16</v>
      </c>
      <c r="I71" s="5" t="s">
        <v>7</v>
      </c>
      <c r="J71" s="6" t="s">
        <v>21</v>
      </c>
      <c r="K71" s="5"/>
      <c r="L71" s="6"/>
      <c r="M71" s="5"/>
      <c r="N71" s="5"/>
      <c r="O71" s="5"/>
      <c r="P71" s="5"/>
      <c r="Q71" s="54"/>
    </row>
    <row r="72" spans="2:17" x14ac:dyDescent="0.25">
      <c r="B72" s="21"/>
      <c r="C72" s="4"/>
      <c r="D72" s="4" t="s">
        <v>52</v>
      </c>
      <c r="E72" s="5"/>
      <c r="F72" s="5"/>
      <c r="G72" s="5"/>
      <c r="H72" s="8">
        <f>H70-900</f>
        <v>-1000</v>
      </c>
      <c r="I72" s="5">
        <f>IF(H72&gt;4000,4000,H72)</f>
        <v>-1000</v>
      </c>
      <c r="J72" s="6">
        <f>IF(I72&gt;0,I72*'National Rate Table'!E9,0)</f>
        <v>0</v>
      </c>
      <c r="K72" s="5"/>
      <c r="L72" s="6"/>
      <c r="M72" s="5"/>
      <c r="N72" s="5"/>
      <c r="O72" s="5"/>
      <c r="P72" s="5"/>
      <c r="Q72" s="54"/>
    </row>
    <row r="73" spans="2:17" x14ac:dyDescent="0.25">
      <c r="B73" s="21"/>
      <c r="C73" s="4"/>
      <c r="D73" s="4">
        <f>IF(J79=0,0,D71*1.2)</f>
        <v>0</v>
      </c>
      <c r="E73" s="5" t="s">
        <v>25</v>
      </c>
      <c r="F73" s="5">
        <v>5001</v>
      </c>
      <c r="G73" s="5">
        <v>10000</v>
      </c>
      <c r="H73" s="5" t="s">
        <v>20</v>
      </c>
      <c r="I73" s="5" t="s">
        <v>7</v>
      </c>
      <c r="J73" s="6" t="s">
        <v>22</v>
      </c>
      <c r="K73" s="5"/>
      <c r="L73" s="6"/>
      <c r="M73" s="5"/>
      <c r="N73" s="5"/>
      <c r="O73" s="5"/>
      <c r="P73" s="5"/>
      <c r="Q73" s="54"/>
    </row>
    <row r="74" spans="2:17" x14ac:dyDescent="0.25">
      <c r="B74" s="21"/>
      <c r="C74" s="4"/>
      <c r="D74" s="4" t="s">
        <v>54</v>
      </c>
      <c r="E74" s="5"/>
      <c r="F74" s="5"/>
      <c r="G74" s="5"/>
      <c r="H74" s="8">
        <f>H72-4000</f>
        <v>-5000</v>
      </c>
      <c r="I74" s="5">
        <f>IF(H74&gt;5000,5000,H74)</f>
        <v>-5000</v>
      </c>
      <c r="J74" s="6">
        <f>IF(I74&gt;0,I74*'National Rate Table'!E10, 0)</f>
        <v>0</v>
      </c>
      <c r="K74" s="5"/>
      <c r="L74" s="6"/>
      <c r="M74" s="5"/>
      <c r="N74" s="5"/>
      <c r="O74" s="5"/>
      <c r="P74" s="5"/>
      <c r="Q74" s="54"/>
    </row>
    <row r="75" spans="2:17" x14ac:dyDescent="0.25">
      <c r="B75" s="21"/>
      <c r="C75" s="4"/>
      <c r="D75" s="4">
        <f>D71*0.7</f>
        <v>105</v>
      </c>
      <c r="E75" s="5" t="s">
        <v>27</v>
      </c>
      <c r="F75" s="5">
        <v>10001</v>
      </c>
      <c r="G75" s="5">
        <v>15000</v>
      </c>
      <c r="H75" s="5" t="s">
        <v>28</v>
      </c>
      <c r="I75" s="5" t="s">
        <v>7</v>
      </c>
      <c r="J75" s="6" t="s">
        <v>29</v>
      </c>
      <c r="K75" s="5"/>
      <c r="L75" s="6"/>
      <c r="M75" s="5"/>
      <c r="N75" s="5"/>
      <c r="O75" s="5"/>
      <c r="P75" s="5"/>
      <c r="Q75" s="54"/>
    </row>
    <row r="76" spans="2:17" x14ac:dyDescent="0.25">
      <c r="B76" s="21"/>
      <c r="C76" s="4"/>
      <c r="D76" s="4"/>
      <c r="E76" s="5"/>
      <c r="F76" s="5"/>
      <c r="G76" s="5"/>
      <c r="H76" s="8">
        <f>H74-5000</f>
        <v>-10000</v>
      </c>
      <c r="I76" s="5">
        <f>IF(H76&gt;5000,5000,H76)</f>
        <v>-10000</v>
      </c>
      <c r="J76" s="6">
        <f>IF(I76&gt;0,I76*'National Rate Table'!E11,0)</f>
        <v>0</v>
      </c>
      <c r="K76" s="5"/>
      <c r="L76" s="6"/>
      <c r="M76" s="5"/>
      <c r="N76" s="5"/>
      <c r="O76" s="5"/>
      <c r="P76" s="5"/>
      <c r="Q76" s="54"/>
    </row>
    <row r="77" spans="2:17" x14ac:dyDescent="0.25">
      <c r="B77" s="21"/>
      <c r="C77" s="4"/>
      <c r="D77" s="4"/>
      <c r="E77" s="5" t="s">
        <v>15</v>
      </c>
      <c r="F77" s="5">
        <v>150000</v>
      </c>
      <c r="G77" s="5"/>
      <c r="H77" s="5" t="s">
        <v>30</v>
      </c>
      <c r="I77" s="5" t="s">
        <v>7</v>
      </c>
      <c r="J77" s="6" t="s">
        <v>31</v>
      </c>
      <c r="K77" s="5"/>
      <c r="L77" s="6"/>
      <c r="M77" s="5"/>
      <c r="N77" s="5"/>
      <c r="O77" s="5"/>
      <c r="P77" s="5"/>
      <c r="Q77" s="54"/>
    </row>
    <row r="78" spans="2:17" x14ac:dyDescent="0.25">
      <c r="B78" s="21"/>
      <c r="C78" s="4"/>
      <c r="D78" s="4"/>
      <c r="E78" s="5"/>
      <c r="F78" s="5"/>
      <c r="G78" s="5"/>
      <c r="H78" s="8">
        <f>H76-5000</f>
        <v>-15000</v>
      </c>
      <c r="I78" s="8">
        <f>H78</f>
        <v>-15000</v>
      </c>
      <c r="J78" s="6">
        <f>IF(I78&gt;0,I78*'National Rate Table'!E12,0)</f>
        <v>0</v>
      </c>
      <c r="K78" s="5"/>
      <c r="L78" s="6"/>
      <c r="M78" s="5"/>
      <c r="N78" s="5"/>
      <c r="O78" s="5"/>
      <c r="P78" s="5"/>
      <c r="Q78" s="54"/>
    </row>
    <row r="79" spans="2:17" x14ac:dyDescent="0.25">
      <c r="B79" s="21"/>
      <c r="C79" s="4"/>
      <c r="D79" s="9"/>
      <c r="E79" s="10"/>
      <c r="F79" s="10"/>
      <c r="G79" s="10"/>
      <c r="H79" s="11" t="s">
        <v>33</v>
      </c>
      <c r="I79" s="11">
        <f>SUM(I66:I78)</f>
        <v>-31150</v>
      </c>
      <c r="J79" s="12">
        <f>IF(D66&gt;0,((SUM(J66:J78))*0.7),0)</f>
        <v>0</v>
      </c>
      <c r="K79" s="5"/>
      <c r="L79" s="6"/>
      <c r="M79" s="5"/>
      <c r="N79" s="5"/>
      <c r="O79" s="5"/>
      <c r="P79" s="5"/>
      <c r="Q79" s="54"/>
    </row>
    <row r="80" spans="2:17" x14ac:dyDescent="0.25">
      <c r="B80" s="21"/>
      <c r="C80" s="4"/>
      <c r="D80" s="5"/>
      <c r="E80" s="5"/>
      <c r="F80" s="5"/>
      <c r="G80" s="5"/>
      <c r="H80" s="15"/>
      <c r="I80" s="15"/>
      <c r="J80" s="15"/>
      <c r="K80" s="5"/>
      <c r="L80" s="6"/>
      <c r="M80" s="5"/>
      <c r="N80" s="5"/>
      <c r="O80" s="5"/>
      <c r="P80" s="5"/>
      <c r="Q80" s="54"/>
    </row>
    <row r="81" spans="2:17" x14ac:dyDescent="0.25">
      <c r="B81" s="21"/>
      <c r="C81" s="4"/>
      <c r="D81" s="1" t="s">
        <v>148</v>
      </c>
      <c r="E81" s="2"/>
      <c r="F81" s="2"/>
      <c r="G81" s="2"/>
      <c r="H81" s="199"/>
      <c r="I81" s="199"/>
      <c r="J81" s="200"/>
      <c r="K81" s="5"/>
      <c r="L81" s="6"/>
      <c r="M81" s="5"/>
      <c r="N81" s="5"/>
      <c r="O81" s="5"/>
      <c r="P81" s="5"/>
      <c r="Q81" s="54"/>
    </row>
    <row r="82" spans="2:17" x14ac:dyDescent="0.25">
      <c r="B82" s="21"/>
      <c r="C82" s="4"/>
      <c r="D82" s="4"/>
      <c r="E82" s="5"/>
      <c r="F82" s="5" t="s">
        <v>62</v>
      </c>
      <c r="G82" s="5" t="s">
        <v>63</v>
      </c>
      <c r="H82" s="15"/>
      <c r="I82" s="15"/>
      <c r="J82" s="16"/>
      <c r="K82" s="5"/>
      <c r="L82" s="6"/>
      <c r="M82" s="5"/>
      <c r="N82" s="5"/>
      <c r="O82" s="5"/>
      <c r="P82" s="5"/>
      <c r="Q82" s="54"/>
    </row>
    <row r="83" spans="2:17" x14ac:dyDescent="0.25">
      <c r="B83" s="21"/>
      <c r="C83" s="4"/>
      <c r="D83" s="4" t="s">
        <v>0</v>
      </c>
      <c r="E83" s="5"/>
      <c r="F83" s="5">
        <v>0</v>
      </c>
      <c r="G83" s="5">
        <v>49</v>
      </c>
      <c r="H83" s="197" t="s">
        <v>1</v>
      </c>
      <c r="I83" s="197" t="s">
        <v>32</v>
      </c>
      <c r="J83" s="201" t="s">
        <v>3</v>
      </c>
      <c r="K83" s="5"/>
      <c r="L83" s="6"/>
      <c r="M83" s="5"/>
      <c r="N83" s="5"/>
      <c r="O83" s="5"/>
      <c r="P83" s="5"/>
      <c r="Q83" s="54"/>
    </row>
    <row r="84" spans="2:17" x14ac:dyDescent="0.25">
      <c r="B84" s="21"/>
      <c r="C84" s="4"/>
      <c r="D84" s="202">
        <f>'National Rates'!T13</f>
        <v>0</v>
      </c>
      <c r="E84" s="5"/>
      <c r="F84" s="5"/>
      <c r="G84" s="5"/>
      <c r="H84" s="198">
        <f>ROUNDUP((D84/1000),0)</f>
        <v>0</v>
      </c>
      <c r="I84" s="198">
        <f>IF(H84&lt;50,H84,50)</f>
        <v>0</v>
      </c>
      <c r="J84" s="201">
        <f>IF(H84&gt;35,I84*'National Rate Table'!E6,150)</f>
        <v>150</v>
      </c>
      <c r="K84" s="5"/>
      <c r="L84" s="6"/>
      <c r="M84" s="5"/>
      <c r="N84" s="5"/>
      <c r="O84" s="5"/>
      <c r="P84" s="5"/>
      <c r="Q84" s="54"/>
    </row>
    <row r="85" spans="2:17" x14ac:dyDescent="0.25">
      <c r="B85" s="21"/>
      <c r="C85" s="4"/>
      <c r="D85" s="4"/>
      <c r="E85" s="5" t="s">
        <v>23</v>
      </c>
      <c r="F85" s="5">
        <v>50</v>
      </c>
      <c r="G85" s="5">
        <v>100</v>
      </c>
      <c r="H85" s="197" t="s">
        <v>2</v>
      </c>
      <c r="I85" s="197" t="s">
        <v>7</v>
      </c>
      <c r="J85" s="201" t="s">
        <v>8</v>
      </c>
      <c r="K85" s="5"/>
      <c r="L85" s="6"/>
      <c r="M85" s="5"/>
      <c r="N85" s="5"/>
      <c r="O85" s="5"/>
      <c r="P85" s="5"/>
      <c r="Q85" s="54"/>
    </row>
    <row r="86" spans="2:17" x14ac:dyDescent="0.25">
      <c r="B86" s="21"/>
      <c r="C86" s="4"/>
      <c r="D86" s="4"/>
      <c r="E86" s="5"/>
      <c r="F86" s="5"/>
      <c r="G86" s="5"/>
      <c r="H86" s="198">
        <f>H84-50</f>
        <v>-50</v>
      </c>
      <c r="I86" s="198">
        <f>IF(H86&gt;50,50,H86)</f>
        <v>-50</v>
      </c>
      <c r="J86" s="201">
        <f>IF(I86&gt;0,I86*'National Rate Table'!E7,0)</f>
        <v>0</v>
      </c>
      <c r="K86" s="5"/>
      <c r="L86" s="6"/>
      <c r="M86" s="5"/>
      <c r="N86" s="5"/>
      <c r="O86" s="5"/>
      <c r="P86" s="5"/>
      <c r="Q86" s="54"/>
    </row>
    <row r="87" spans="2:17" x14ac:dyDescent="0.25">
      <c r="B87" s="21"/>
      <c r="C87" s="4"/>
      <c r="D87" s="4"/>
      <c r="E87" s="5" t="s">
        <v>24</v>
      </c>
      <c r="F87" s="5">
        <v>101</v>
      </c>
      <c r="G87" s="5">
        <v>1000</v>
      </c>
      <c r="H87" s="197" t="s">
        <v>9</v>
      </c>
      <c r="I87" s="197" t="s">
        <v>7</v>
      </c>
      <c r="J87" s="201" t="s">
        <v>10</v>
      </c>
      <c r="K87" s="5"/>
      <c r="L87" s="6"/>
      <c r="M87" s="5"/>
      <c r="N87" s="5"/>
      <c r="O87" s="5"/>
      <c r="P87" s="5"/>
      <c r="Q87" s="54"/>
    </row>
    <row r="88" spans="2:17" x14ac:dyDescent="0.25">
      <c r="B88" s="21"/>
      <c r="C88" s="4"/>
      <c r="D88" s="4" t="s">
        <v>53</v>
      </c>
      <c r="E88" s="5"/>
      <c r="F88" s="5"/>
      <c r="G88" s="5"/>
      <c r="H88" s="198">
        <f>H86-50</f>
        <v>-100</v>
      </c>
      <c r="I88" s="197">
        <f>IF(H88&gt;900,900,H88)</f>
        <v>-100</v>
      </c>
      <c r="J88" s="201">
        <f>IF(I88&gt;0,I88*'National Rate Table'!E8,0)</f>
        <v>0</v>
      </c>
      <c r="K88" s="5"/>
      <c r="L88" s="6"/>
      <c r="M88" s="5"/>
      <c r="N88" s="5"/>
      <c r="O88" s="5"/>
      <c r="P88" s="5"/>
      <c r="Q88" s="54"/>
    </row>
    <row r="89" spans="2:17" x14ac:dyDescent="0.25">
      <c r="B89" s="21"/>
      <c r="C89" s="4"/>
      <c r="D89" s="4">
        <f>IF(J97&lt;150,150,J97)</f>
        <v>150</v>
      </c>
      <c r="E89" s="5" t="s">
        <v>26</v>
      </c>
      <c r="F89" s="5">
        <v>1001</v>
      </c>
      <c r="G89" s="5">
        <v>5000</v>
      </c>
      <c r="H89" s="197" t="s">
        <v>16</v>
      </c>
      <c r="I89" s="197" t="s">
        <v>7</v>
      </c>
      <c r="J89" s="201" t="s">
        <v>21</v>
      </c>
      <c r="K89" s="5"/>
      <c r="L89" s="6"/>
      <c r="M89" s="5"/>
      <c r="N89" s="5"/>
      <c r="O89" s="5"/>
      <c r="P89" s="5"/>
      <c r="Q89" s="54"/>
    </row>
    <row r="90" spans="2:17" x14ac:dyDescent="0.25">
      <c r="B90" s="21"/>
      <c r="C90" s="4"/>
      <c r="D90" s="4" t="s">
        <v>52</v>
      </c>
      <c r="E90" s="5"/>
      <c r="F90" s="5"/>
      <c r="G90" s="5"/>
      <c r="H90" s="198">
        <f>H88-900</f>
        <v>-1000</v>
      </c>
      <c r="I90" s="197">
        <f>IF(H90&gt;4000,4000,H90)</f>
        <v>-1000</v>
      </c>
      <c r="J90" s="201">
        <f>IF(I90&gt;0,I90*'National Rate Table'!E9,0)</f>
        <v>0</v>
      </c>
      <c r="K90" s="5"/>
      <c r="L90" s="6"/>
      <c r="M90" s="5"/>
      <c r="N90" s="5"/>
      <c r="O90" s="5"/>
      <c r="P90" s="5"/>
      <c r="Q90" s="54"/>
    </row>
    <row r="91" spans="2:17" x14ac:dyDescent="0.25">
      <c r="B91" s="21"/>
      <c r="C91" s="4"/>
      <c r="D91" s="4">
        <f>J97*1.2</f>
        <v>0</v>
      </c>
      <c r="E91" s="5" t="s">
        <v>25</v>
      </c>
      <c r="F91" s="5">
        <v>5001</v>
      </c>
      <c r="G91" s="5">
        <v>10000</v>
      </c>
      <c r="H91" s="197" t="s">
        <v>20</v>
      </c>
      <c r="I91" s="197" t="s">
        <v>7</v>
      </c>
      <c r="J91" s="201" t="s">
        <v>22</v>
      </c>
      <c r="K91" s="5"/>
      <c r="L91" s="6"/>
      <c r="M91" s="5"/>
      <c r="N91" s="5"/>
      <c r="O91" s="5"/>
      <c r="P91" s="5"/>
      <c r="Q91" s="54"/>
    </row>
    <row r="92" spans="2:17" x14ac:dyDescent="0.25">
      <c r="B92" s="21"/>
      <c r="C92" s="4"/>
      <c r="D92" s="4" t="s">
        <v>54</v>
      </c>
      <c r="E92" s="5"/>
      <c r="F92" s="5"/>
      <c r="G92" s="5"/>
      <c r="H92" s="198">
        <f>H90-4000</f>
        <v>-5000</v>
      </c>
      <c r="I92" s="197">
        <f>IF(H92&gt;5000,5000,H92)</f>
        <v>-5000</v>
      </c>
      <c r="J92" s="201">
        <f>IF(I92&gt;0,I92*'National Rate Table'!E10, 0)</f>
        <v>0</v>
      </c>
      <c r="K92" s="5"/>
      <c r="L92" s="6"/>
      <c r="M92" s="5"/>
      <c r="N92" s="5"/>
      <c r="O92" s="5"/>
      <c r="P92" s="5"/>
      <c r="Q92" s="54"/>
    </row>
    <row r="93" spans="2:17" x14ac:dyDescent="0.25">
      <c r="B93" s="21"/>
      <c r="C93" s="4"/>
      <c r="D93" s="4">
        <f>D89*0.7</f>
        <v>105</v>
      </c>
      <c r="E93" s="5" t="s">
        <v>27</v>
      </c>
      <c r="F93" s="5">
        <v>10001</v>
      </c>
      <c r="G93" s="5">
        <v>15000</v>
      </c>
      <c r="H93" s="197" t="s">
        <v>28</v>
      </c>
      <c r="I93" s="197" t="s">
        <v>7</v>
      </c>
      <c r="J93" s="201" t="s">
        <v>29</v>
      </c>
      <c r="K93" s="5"/>
      <c r="L93" s="6"/>
      <c r="M93" s="5"/>
      <c r="N93" s="5"/>
      <c r="O93" s="5"/>
      <c r="P93" s="5"/>
      <c r="Q93" s="54"/>
    </row>
    <row r="94" spans="2:17" x14ac:dyDescent="0.25">
      <c r="B94" s="21"/>
      <c r="C94" s="4"/>
      <c r="D94" s="4"/>
      <c r="E94" s="5"/>
      <c r="F94" s="5"/>
      <c r="G94" s="5"/>
      <c r="H94" s="198">
        <f>H92-5000</f>
        <v>-10000</v>
      </c>
      <c r="I94" s="197">
        <f>IF(H94&gt;5000,5000,H94)</f>
        <v>-10000</v>
      </c>
      <c r="J94" s="201">
        <f>IF(I94&gt;0,I94*'National Rate Table'!E11,0)</f>
        <v>0</v>
      </c>
      <c r="K94" s="5"/>
      <c r="L94" s="6"/>
      <c r="M94" s="5"/>
      <c r="N94" s="5"/>
      <c r="O94" s="5"/>
      <c r="P94" s="5"/>
      <c r="Q94" s="54"/>
    </row>
    <row r="95" spans="2:17" x14ac:dyDescent="0.25">
      <c r="B95" s="21"/>
      <c r="C95" s="4"/>
      <c r="D95" s="4"/>
      <c r="E95" s="5" t="s">
        <v>15</v>
      </c>
      <c r="F95" s="5">
        <v>150000</v>
      </c>
      <c r="G95" s="5"/>
      <c r="H95" s="197" t="s">
        <v>30</v>
      </c>
      <c r="I95" s="197" t="s">
        <v>7</v>
      </c>
      <c r="J95" s="201" t="s">
        <v>31</v>
      </c>
      <c r="K95" s="5"/>
      <c r="L95" s="6"/>
      <c r="M95" s="5"/>
      <c r="N95" s="5"/>
      <c r="O95" s="5"/>
      <c r="P95" s="5"/>
      <c r="Q95" s="54"/>
    </row>
    <row r="96" spans="2:17" x14ac:dyDescent="0.25">
      <c r="B96" s="21"/>
      <c r="C96" s="4"/>
      <c r="D96" s="4"/>
      <c r="E96" s="5"/>
      <c r="F96" s="5"/>
      <c r="G96" s="5"/>
      <c r="H96" s="198">
        <f>H94-5000</f>
        <v>-15000</v>
      </c>
      <c r="I96" s="198">
        <f>H96</f>
        <v>-15000</v>
      </c>
      <c r="J96" s="201">
        <f>IF(I96&gt;0,I96*'National Rate Table'!E12,0)</f>
        <v>0</v>
      </c>
      <c r="K96" s="5"/>
      <c r="L96" s="6"/>
      <c r="M96" s="5"/>
      <c r="N96" s="5"/>
      <c r="O96" s="5"/>
      <c r="P96" s="5"/>
      <c r="Q96" s="54"/>
    </row>
    <row r="97" spans="2:17" x14ac:dyDescent="0.25">
      <c r="B97" s="21"/>
      <c r="C97" s="4"/>
      <c r="D97" s="9"/>
      <c r="E97" s="10"/>
      <c r="F97" s="10"/>
      <c r="G97" s="10"/>
      <c r="H97" s="11" t="s">
        <v>33</v>
      </c>
      <c r="I97" s="11">
        <f>SUM(I84:I96)</f>
        <v>-31150</v>
      </c>
      <c r="J97" s="12">
        <f>IF(D84&gt;0,((SUM(J84:J96))),0)</f>
        <v>0</v>
      </c>
      <c r="K97" s="5"/>
      <c r="L97" s="6"/>
      <c r="M97" s="5"/>
      <c r="N97" s="5"/>
      <c r="O97" s="5"/>
      <c r="P97" s="5"/>
      <c r="Q97" s="54"/>
    </row>
    <row r="98" spans="2:17" x14ac:dyDescent="0.25">
      <c r="B98" s="21"/>
      <c r="C98" s="4"/>
      <c r="D98" s="1" t="s">
        <v>166</v>
      </c>
      <c r="E98" s="2"/>
      <c r="F98" s="2"/>
      <c r="G98" s="2"/>
      <c r="H98" s="199"/>
      <c r="I98" s="199"/>
      <c r="J98" s="200"/>
      <c r="K98" s="5"/>
      <c r="L98" s="6"/>
      <c r="M98" s="5"/>
      <c r="N98" s="5"/>
      <c r="O98" s="5"/>
      <c r="P98" s="5"/>
      <c r="Q98" s="54"/>
    </row>
    <row r="99" spans="2:17" x14ac:dyDescent="0.25">
      <c r="B99" s="21"/>
      <c r="C99" s="4"/>
      <c r="D99" s="4"/>
      <c r="E99" s="5"/>
      <c r="F99" s="5" t="s">
        <v>62</v>
      </c>
      <c r="G99" s="5" t="s">
        <v>63</v>
      </c>
      <c r="H99" s="15"/>
      <c r="I99" s="15"/>
      <c r="J99" s="16"/>
      <c r="K99" s="5"/>
      <c r="L99" s="6"/>
      <c r="M99" s="5"/>
      <c r="N99" s="5"/>
      <c r="O99" s="5"/>
      <c r="P99" s="5"/>
      <c r="Q99" s="54"/>
    </row>
    <row r="100" spans="2:17" x14ac:dyDescent="0.25">
      <c r="B100" s="21"/>
      <c r="C100" s="4"/>
      <c r="D100" s="4" t="s">
        <v>0</v>
      </c>
      <c r="E100" s="5"/>
      <c r="F100" s="5">
        <v>0</v>
      </c>
      <c r="G100" s="5">
        <v>49</v>
      </c>
      <c r="H100" s="197" t="s">
        <v>1</v>
      </c>
      <c r="I100" s="197" t="s">
        <v>32</v>
      </c>
      <c r="J100" s="201" t="s">
        <v>3</v>
      </c>
      <c r="K100" s="5"/>
      <c r="L100" s="6"/>
      <c r="M100" s="5"/>
      <c r="N100" s="5"/>
      <c r="O100" s="5"/>
      <c r="P100" s="5"/>
      <c r="Q100" s="54"/>
    </row>
    <row r="101" spans="2:17" x14ac:dyDescent="0.25">
      <c r="B101" s="21"/>
      <c r="C101" s="4"/>
      <c r="D101" s="202">
        <f>'National Rates'!I17</f>
        <v>0</v>
      </c>
      <c r="E101" s="5"/>
      <c r="F101" s="5"/>
      <c r="G101" s="5"/>
      <c r="H101" s="198">
        <f>ROUNDUP((D101/1000),0)</f>
        <v>0</v>
      </c>
      <c r="I101" s="198">
        <f>IF(H101&lt;50,H101,50)</f>
        <v>0</v>
      </c>
      <c r="J101" s="201">
        <f>IF(H101&gt;35,I101*'National Rate Table'!E6,150)</f>
        <v>150</v>
      </c>
      <c r="K101" s="5"/>
      <c r="L101" s="6"/>
      <c r="M101" s="5"/>
      <c r="N101" s="5"/>
      <c r="O101" s="5"/>
      <c r="P101" s="5"/>
      <c r="Q101" s="54"/>
    </row>
    <row r="102" spans="2:17" x14ac:dyDescent="0.25">
      <c r="B102" s="21"/>
      <c r="C102" s="4"/>
      <c r="D102" s="4"/>
      <c r="E102" s="5" t="s">
        <v>23</v>
      </c>
      <c r="F102" s="5">
        <v>50</v>
      </c>
      <c r="G102" s="5">
        <v>100</v>
      </c>
      <c r="H102" s="197" t="s">
        <v>2</v>
      </c>
      <c r="I102" s="197" t="s">
        <v>7</v>
      </c>
      <c r="J102" s="201" t="s">
        <v>8</v>
      </c>
      <c r="K102" s="5"/>
      <c r="L102" s="6"/>
      <c r="M102" s="5"/>
      <c r="N102" s="5"/>
      <c r="O102" s="5"/>
      <c r="P102" s="5"/>
      <c r="Q102" s="54"/>
    </row>
    <row r="103" spans="2:17" x14ac:dyDescent="0.25">
      <c r="B103" s="21"/>
      <c r="C103" s="4"/>
      <c r="D103" s="4"/>
      <c r="E103" s="5"/>
      <c r="F103" s="5"/>
      <c r="G103" s="5"/>
      <c r="H103" s="198">
        <f>H101-50</f>
        <v>-50</v>
      </c>
      <c r="I103" s="198">
        <f>IF(H103&gt;50,50,H103)</f>
        <v>-50</v>
      </c>
      <c r="J103" s="201">
        <f>IF(I103&gt;0,I103*'National Rate Table'!E7,0)</f>
        <v>0</v>
      </c>
      <c r="K103" s="5"/>
      <c r="L103" s="6"/>
      <c r="M103" s="5"/>
      <c r="N103" s="5"/>
      <c r="O103" s="5"/>
      <c r="P103" s="5"/>
      <c r="Q103" s="54"/>
    </row>
    <row r="104" spans="2:17" x14ac:dyDescent="0.25">
      <c r="B104" s="21"/>
      <c r="C104" s="4"/>
      <c r="D104" s="4"/>
      <c r="E104" s="5" t="s">
        <v>24</v>
      </c>
      <c r="F104" s="5">
        <v>101</v>
      </c>
      <c r="G104" s="5">
        <v>1000</v>
      </c>
      <c r="H104" s="197" t="s">
        <v>9</v>
      </c>
      <c r="I104" s="197" t="s">
        <v>7</v>
      </c>
      <c r="J104" s="201" t="s">
        <v>10</v>
      </c>
      <c r="K104" s="5"/>
      <c r="L104" s="6"/>
      <c r="M104" s="5"/>
      <c r="N104" s="5"/>
      <c r="O104" s="5"/>
      <c r="P104" s="5"/>
      <c r="Q104" s="54"/>
    </row>
    <row r="105" spans="2:17" x14ac:dyDescent="0.25">
      <c r="B105" s="21"/>
      <c r="C105" s="4"/>
      <c r="D105" s="4" t="s">
        <v>53</v>
      </c>
      <c r="E105" s="5"/>
      <c r="F105" s="5"/>
      <c r="G105" s="5"/>
      <c r="H105" s="198">
        <f>H103-50</f>
        <v>-100</v>
      </c>
      <c r="I105" s="197">
        <f>IF(H105&gt;900,900,H105)</f>
        <v>-100</v>
      </c>
      <c r="J105" s="201">
        <f>IF(I105&gt;0,I105*'National Rate Table'!E8,0)</f>
        <v>0</v>
      </c>
      <c r="K105" s="5"/>
      <c r="L105" s="6"/>
      <c r="M105" s="5"/>
      <c r="N105" s="5"/>
      <c r="O105" s="5"/>
      <c r="P105" s="5"/>
      <c r="Q105" s="54"/>
    </row>
    <row r="106" spans="2:17" x14ac:dyDescent="0.25">
      <c r="B106" s="21"/>
      <c r="C106" s="4"/>
      <c r="D106" s="4">
        <f>IF(J114&lt;150,150,J114)</f>
        <v>150</v>
      </c>
      <c r="E106" s="5" t="s">
        <v>26</v>
      </c>
      <c r="F106" s="5">
        <v>1001</v>
      </c>
      <c r="G106" s="5">
        <v>5000</v>
      </c>
      <c r="H106" s="197" t="s">
        <v>16</v>
      </c>
      <c r="I106" s="197" t="s">
        <v>7</v>
      </c>
      <c r="J106" s="201" t="s">
        <v>21</v>
      </c>
      <c r="K106" s="5"/>
      <c r="L106" s="6"/>
      <c r="M106" s="5"/>
      <c r="N106" s="5"/>
      <c r="O106" s="5"/>
      <c r="P106" s="5"/>
      <c r="Q106" s="54"/>
    </row>
    <row r="107" spans="2:17" x14ac:dyDescent="0.25">
      <c r="B107" s="21"/>
      <c r="C107" s="4"/>
      <c r="D107" s="4" t="s">
        <v>52</v>
      </c>
      <c r="E107" s="5"/>
      <c r="F107" s="5"/>
      <c r="G107" s="5"/>
      <c r="H107" s="198">
        <f>H105-900</f>
        <v>-1000</v>
      </c>
      <c r="I107" s="197">
        <f>IF(H107&gt;4000,4000,H107)</f>
        <v>-1000</v>
      </c>
      <c r="J107" s="201">
        <f>IF(I107&gt;0,I107*'National Rate Table'!E9,0)</f>
        <v>0</v>
      </c>
      <c r="K107" s="5"/>
      <c r="L107" s="6"/>
      <c r="M107" s="5"/>
      <c r="N107" s="5"/>
      <c r="O107" s="5"/>
      <c r="P107" s="5"/>
      <c r="Q107" s="54"/>
    </row>
    <row r="108" spans="2:17" x14ac:dyDescent="0.25">
      <c r="B108" s="21"/>
      <c r="C108" s="4"/>
      <c r="D108" s="4">
        <f>J114*1.2</f>
        <v>0</v>
      </c>
      <c r="E108" s="5" t="s">
        <v>25</v>
      </c>
      <c r="F108" s="5">
        <v>5001</v>
      </c>
      <c r="G108" s="5">
        <v>10000</v>
      </c>
      <c r="H108" s="197" t="s">
        <v>20</v>
      </c>
      <c r="I108" s="197" t="s">
        <v>7</v>
      </c>
      <c r="J108" s="201" t="s">
        <v>22</v>
      </c>
      <c r="K108" s="5"/>
      <c r="L108" s="6"/>
      <c r="M108" s="5"/>
      <c r="N108" s="5"/>
      <c r="O108" s="5"/>
      <c r="P108" s="5"/>
      <c r="Q108" s="54"/>
    </row>
    <row r="109" spans="2:17" x14ac:dyDescent="0.25">
      <c r="B109" s="21"/>
      <c r="C109" s="4"/>
      <c r="D109" s="4" t="s">
        <v>54</v>
      </c>
      <c r="E109" s="5"/>
      <c r="F109" s="5"/>
      <c r="G109" s="5"/>
      <c r="H109" s="198">
        <f>H107-4000</f>
        <v>-5000</v>
      </c>
      <c r="I109" s="197">
        <f>IF(H109&gt;5000,5000,H109)</f>
        <v>-5000</v>
      </c>
      <c r="J109" s="201">
        <f>IF(I109&gt;0,I109*'National Rate Table'!E10, 0)</f>
        <v>0</v>
      </c>
      <c r="K109" s="5"/>
      <c r="L109" s="6"/>
      <c r="M109" s="5"/>
      <c r="N109" s="5"/>
      <c r="O109" s="5"/>
      <c r="P109" s="5"/>
      <c r="Q109" s="54"/>
    </row>
    <row r="110" spans="2:17" x14ac:dyDescent="0.25">
      <c r="B110" s="21"/>
      <c r="C110" s="4"/>
      <c r="D110" s="4">
        <f>D106*0.7</f>
        <v>105</v>
      </c>
      <c r="E110" s="5" t="s">
        <v>27</v>
      </c>
      <c r="F110" s="5">
        <v>10001</v>
      </c>
      <c r="G110" s="5">
        <v>15000</v>
      </c>
      <c r="H110" s="197" t="s">
        <v>28</v>
      </c>
      <c r="I110" s="197" t="s">
        <v>7</v>
      </c>
      <c r="J110" s="201" t="s">
        <v>29</v>
      </c>
      <c r="K110" s="5"/>
      <c r="L110" s="6"/>
      <c r="M110" s="5"/>
      <c r="N110" s="5"/>
      <c r="O110" s="5"/>
      <c r="P110" s="5"/>
      <c r="Q110" s="54"/>
    </row>
    <row r="111" spans="2:17" x14ac:dyDescent="0.25">
      <c r="B111" s="21"/>
      <c r="C111" s="4"/>
      <c r="D111" s="4"/>
      <c r="E111" s="5"/>
      <c r="F111" s="5"/>
      <c r="G111" s="5"/>
      <c r="H111" s="198">
        <f>H109-5000</f>
        <v>-10000</v>
      </c>
      <c r="I111" s="197">
        <f>IF(H111&gt;5000,5000,H111)</f>
        <v>-10000</v>
      </c>
      <c r="J111" s="201">
        <f>IF(I111&gt;0,I111*'National Rate Table'!E11,0)</f>
        <v>0</v>
      </c>
      <c r="K111" s="5"/>
      <c r="L111" s="6"/>
      <c r="M111" s="5"/>
      <c r="N111" s="5"/>
      <c r="O111" s="5"/>
      <c r="P111" s="5"/>
      <c r="Q111" s="54"/>
    </row>
    <row r="112" spans="2:17" x14ac:dyDescent="0.25">
      <c r="B112" s="21"/>
      <c r="C112" s="4"/>
      <c r="D112" s="4"/>
      <c r="E112" s="5" t="s">
        <v>15</v>
      </c>
      <c r="F112" s="5">
        <v>150000</v>
      </c>
      <c r="G112" s="5"/>
      <c r="H112" s="197" t="s">
        <v>30</v>
      </c>
      <c r="I112" s="197" t="s">
        <v>7</v>
      </c>
      <c r="J112" s="201" t="s">
        <v>31</v>
      </c>
      <c r="K112" s="5"/>
      <c r="L112" s="6"/>
      <c r="M112" s="5"/>
      <c r="N112" s="5"/>
      <c r="O112" s="5"/>
      <c r="P112" s="5"/>
      <c r="Q112" s="54"/>
    </row>
    <row r="113" spans="2:17" x14ac:dyDescent="0.25">
      <c r="B113" s="21"/>
      <c r="C113" s="4"/>
      <c r="D113" s="4"/>
      <c r="E113" s="5"/>
      <c r="F113" s="5"/>
      <c r="G113" s="5"/>
      <c r="H113" s="198">
        <f>H111-5000</f>
        <v>-15000</v>
      </c>
      <c r="I113" s="198">
        <f>H113</f>
        <v>-15000</v>
      </c>
      <c r="J113" s="201">
        <f>IF(I113&gt;0,I113*'National Rate Table'!E12,0)</f>
        <v>0</v>
      </c>
      <c r="K113" s="5"/>
      <c r="L113" s="6"/>
      <c r="M113" s="5"/>
      <c r="N113" s="5"/>
      <c r="O113" s="5"/>
      <c r="P113" s="5"/>
      <c r="Q113" s="54"/>
    </row>
    <row r="114" spans="2:17" x14ac:dyDescent="0.25">
      <c r="B114" s="21"/>
      <c r="C114" s="4"/>
      <c r="D114" s="9"/>
      <c r="E114" s="10"/>
      <c r="F114" s="10"/>
      <c r="G114" s="10"/>
      <c r="H114" s="11" t="s">
        <v>33</v>
      </c>
      <c r="I114" s="11">
        <f>SUM(I101:I113)</f>
        <v>-31150</v>
      </c>
      <c r="J114" s="12">
        <f>IF(D101&gt;0,((SUM(J101:J113))),0)</f>
        <v>0</v>
      </c>
      <c r="K114" s="5"/>
      <c r="L114" s="6"/>
      <c r="M114" s="5"/>
      <c r="N114" s="5"/>
      <c r="O114" s="5"/>
      <c r="P114" s="5"/>
      <c r="Q114" s="54"/>
    </row>
    <row r="115" spans="2:17" x14ac:dyDescent="0.25">
      <c r="B115" s="21"/>
      <c r="C115" s="4"/>
      <c r="D115" s="5"/>
      <c r="E115" s="5"/>
      <c r="F115" s="5"/>
      <c r="G115" s="5"/>
      <c r="H115" s="15"/>
      <c r="I115" s="15"/>
      <c r="J115" s="15"/>
      <c r="K115" s="5"/>
      <c r="L115" s="6"/>
      <c r="M115" s="5"/>
      <c r="N115" s="5"/>
      <c r="O115" s="5"/>
      <c r="P115" s="5"/>
      <c r="Q115" s="54"/>
    </row>
    <row r="116" spans="2:17" x14ac:dyDescent="0.25">
      <c r="B116" s="21"/>
      <c r="C116" s="4"/>
      <c r="D116" s="1" t="s">
        <v>115</v>
      </c>
      <c r="E116" s="2"/>
      <c r="F116" s="2"/>
      <c r="G116" s="2"/>
      <c r="H116" s="2"/>
      <c r="I116" s="2"/>
      <c r="J116" s="2"/>
      <c r="K116" s="3"/>
      <c r="L116" s="6"/>
      <c r="M116" s="5"/>
      <c r="N116" s="5"/>
      <c r="O116" s="5"/>
      <c r="P116" s="5"/>
      <c r="Q116" s="54"/>
    </row>
    <row r="117" spans="2:17" x14ac:dyDescent="0.25">
      <c r="B117" s="21"/>
      <c r="C117" s="4"/>
      <c r="D117" s="4"/>
      <c r="E117" s="5"/>
      <c r="F117" s="5" t="s">
        <v>62</v>
      </c>
      <c r="G117" s="5" t="s">
        <v>63</v>
      </c>
      <c r="H117" s="5"/>
      <c r="I117" s="5"/>
      <c r="J117" s="5"/>
      <c r="K117" s="6"/>
      <c r="L117" s="6"/>
      <c r="M117" s="5"/>
      <c r="N117" s="5"/>
      <c r="O117" s="5"/>
      <c r="P117" s="5"/>
      <c r="Q117" s="54"/>
    </row>
    <row r="118" spans="2:17" x14ac:dyDescent="0.25">
      <c r="B118" s="21"/>
      <c r="C118" s="4"/>
      <c r="D118" s="4" t="s">
        <v>0</v>
      </c>
      <c r="E118" s="5"/>
      <c r="F118" s="5">
        <v>0</v>
      </c>
      <c r="G118" s="5">
        <v>49</v>
      </c>
      <c r="H118" s="5" t="s">
        <v>1</v>
      </c>
      <c r="I118" s="5" t="s">
        <v>32</v>
      </c>
      <c r="J118" s="5" t="s">
        <v>3</v>
      </c>
      <c r="K118" s="19" t="s">
        <v>87</v>
      </c>
      <c r="L118" s="19"/>
      <c r="M118" s="17"/>
      <c r="N118" s="5"/>
      <c r="O118" s="5"/>
      <c r="P118" s="5"/>
      <c r="Q118" s="54"/>
    </row>
    <row r="119" spans="2:17" x14ac:dyDescent="0.25">
      <c r="B119" s="21"/>
      <c r="C119" s="4"/>
      <c r="D119" s="7">
        <f>IF('National Rates'!T15&gt;'National Rates'!T14,'National Rates'!T14,'National Rates'!T15)</f>
        <v>0</v>
      </c>
      <c r="E119" s="5"/>
      <c r="F119" s="5"/>
      <c r="G119" s="5"/>
      <c r="H119" s="8">
        <f>ROUNDUP((D119/1000),0)</f>
        <v>0</v>
      </c>
      <c r="I119" s="8">
        <f>IF(H119&lt;50,H119,50)</f>
        <v>0</v>
      </c>
      <c r="J119" s="5">
        <f>IF(H119&gt;35,I119*'National Rate Table'!E6,0)</f>
        <v>0</v>
      </c>
      <c r="K119" s="6">
        <f>J119*1.2</f>
        <v>0</v>
      </c>
      <c r="L119" s="6"/>
      <c r="M119" s="5"/>
      <c r="N119" s="5"/>
      <c r="O119" s="5"/>
      <c r="P119" s="5"/>
      <c r="Q119" s="54"/>
    </row>
    <row r="120" spans="2:17" x14ac:dyDescent="0.25">
      <c r="B120" s="21"/>
      <c r="C120" s="4"/>
      <c r="D120" s="4"/>
      <c r="E120" s="5" t="s">
        <v>23</v>
      </c>
      <c r="F120" s="5">
        <v>50</v>
      </c>
      <c r="G120" s="5">
        <v>100</v>
      </c>
      <c r="H120" s="5" t="s">
        <v>2</v>
      </c>
      <c r="I120" s="5" t="s">
        <v>7</v>
      </c>
      <c r="J120" s="5" t="s">
        <v>8</v>
      </c>
      <c r="K120" s="6"/>
      <c r="L120" s="6"/>
      <c r="M120" s="5"/>
      <c r="N120" s="5"/>
      <c r="O120" s="5"/>
      <c r="P120" s="5"/>
      <c r="Q120" s="54"/>
    </row>
    <row r="121" spans="2:17" x14ac:dyDescent="0.25">
      <c r="B121" s="21"/>
      <c r="C121" s="4"/>
      <c r="D121" s="4"/>
      <c r="E121" s="5"/>
      <c r="F121" s="5"/>
      <c r="G121" s="5"/>
      <c r="H121" s="8">
        <f>H119-50</f>
        <v>-50</v>
      </c>
      <c r="I121" s="8">
        <f>IF(H121&gt;50,50,H121)</f>
        <v>-50</v>
      </c>
      <c r="J121" s="5">
        <f>IF(I121&gt;0,I121*'National Rate Table'!E7,0)</f>
        <v>0</v>
      </c>
      <c r="K121" s="6">
        <f t="shared" ref="K121:K131" si="1">J121*1.2</f>
        <v>0</v>
      </c>
      <c r="L121" s="6"/>
      <c r="M121" s="5"/>
      <c r="N121" s="5"/>
      <c r="O121" s="5"/>
      <c r="P121" s="5"/>
      <c r="Q121" s="54"/>
    </row>
    <row r="122" spans="2:17" x14ac:dyDescent="0.25">
      <c r="B122" s="21"/>
      <c r="C122" s="4"/>
      <c r="D122" s="4"/>
      <c r="E122" s="5" t="s">
        <v>24</v>
      </c>
      <c r="F122" s="5">
        <v>101</v>
      </c>
      <c r="G122" s="5">
        <v>1000</v>
      </c>
      <c r="H122" s="5" t="s">
        <v>9</v>
      </c>
      <c r="I122" s="5" t="s">
        <v>7</v>
      </c>
      <c r="J122" s="5" t="s">
        <v>10</v>
      </c>
      <c r="K122" s="6"/>
      <c r="L122" s="6"/>
      <c r="M122" s="5"/>
      <c r="N122" s="5"/>
      <c r="O122" s="5"/>
      <c r="P122" s="5"/>
      <c r="Q122" s="54"/>
    </row>
    <row r="123" spans="2:17" x14ac:dyDescent="0.25">
      <c r="B123" s="21"/>
      <c r="C123" s="4"/>
      <c r="D123" s="4" t="s">
        <v>53</v>
      </c>
      <c r="E123" s="5"/>
      <c r="F123" s="5"/>
      <c r="G123" s="5"/>
      <c r="H123" s="8">
        <f>H121-50</f>
        <v>-100</v>
      </c>
      <c r="I123" s="5">
        <f>IF(H123&gt;900,900,H123)</f>
        <v>-100</v>
      </c>
      <c r="J123" s="5">
        <f>IF(I123&gt;0,I123*'National Rate Table'!E8,0)</f>
        <v>0</v>
      </c>
      <c r="K123" s="6">
        <f t="shared" si="1"/>
        <v>0</v>
      </c>
      <c r="L123" s="6"/>
      <c r="M123" s="5"/>
      <c r="N123" s="5"/>
      <c r="O123" s="5"/>
      <c r="P123" s="5"/>
      <c r="Q123" s="54"/>
    </row>
    <row r="124" spans="2:17" x14ac:dyDescent="0.25">
      <c r="B124" s="21"/>
      <c r="C124" s="4"/>
      <c r="D124" s="4">
        <f>J132</f>
        <v>0</v>
      </c>
      <c r="E124" s="5" t="s">
        <v>26</v>
      </c>
      <c r="F124" s="5">
        <v>1001</v>
      </c>
      <c r="G124" s="5">
        <v>5000</v>
      </c>
      <c r="H124" s="5" t="s">
        <v>16</v>
      </c>
      <c r="I124" s="5" t="s">
        <v>7</v>
      </c>
      <c r="J124" s="5" t="s">
        <v>21</v>
      </c>
      <c r="K124" s="6"/>
      <c r="L124" s="6"/>
      <c r="M124" s="5"/>
      <c r="N124" s="5"/>
      <c r="O124" s="5"/>
      <c r="P124" s="5"/>
      <c r="Q124" s="54"/>
    </row>
    <row r="125" spans="2:17" x14ac:dyDescent="0.25">
      <c r="B125" s="21"/>
      <c r="C125" s="4"/>
      <c r="D125" s="4" t="s">
        <v>52</v>
      </c>
      <c r="E125" s="5"/>
      <c r="F125" s="5"/>
      <c r="G125" s="5"/>
      <c r="H125" s="8">
        <f>H123-900</f>
        <v>-1000</v>
      </c>
      <c r="I125" s="5">
        <f>IF(H125&gt;4000,4000,H125)</f>
        <v>-1000</v>
      </c>
      <c r="J125" s="5">
        <f>IF(I125&gt;0,I125*'National Rate Table'!E9,0)</f>
        <v>0</v>
      </c>
      <c r="K125" s="6">
        <f t="shared" si="1"/>
        <v>0</v>
      </c>
      <c r="L125" s="6"/>
      <c r="M125" s="5"/>
      <c r="N125" s="5"/>
      <c r="O125" s="5"/>
      <c r="P125" s="5"/>
      <c r="Q125" s="54"/>
    </row>
    <row r="126" spans="2:17" x14ac:dyDescent="0.25">
      <c r="B126" s="21"/>
      <c r="C126" s="4"/>
      <c r="D126" s="4">
        <f>D124*1.2</f>
        <v>0</v>
      </c>
      <c r="E126" s="5" t="s">
        <v>25</v>
      </c>
      <c r="F126" s="5">
        <v>5001</v>
      </c>
      <c r="G126" s="5">
        <v>10000</v>
      </c>
      <c r="H126" s="5" t="s">
        <v>20</v>
      </c>
      <c r="I126" s="5" t="s">
        <v>7</v>
      </c>
      <c r="J126" s="5" t="s">
        <v>22</v>
      </c>
      <c r="K126" s="6"/>
      <c r="L126" s="6"/>
      <c r="M126" s="5"/>
      <c r="N126" s="5"/>
      <c r="O126" s="5"/>
      <c r="P126" s="5"/>
      <c r="Q126" s="54"/>
    </row>
    <row r="127" spans="2:17" x14ac:dyDescent="0.25">
      <c r="B127" s="21"/>
      <c r="C127" s="4"/>
      <c r="D127" s="4" t="s">
        <v>54</v>
      </c>
      <c r="E127" s="5"/>
      <c r="F127" s="5"/>
      <c r="G127" s="5"/>
      <c r="H127" s="8">
        <f>H125-4000</f>
        <v>-5000</v>
      </c>
      <c r="I127" s="5">
        <f>IF(H127&gt;5000,5000,H127)</f>
        <v>-5000</v>
      </c>
      <c r="J127" s="5">
        <f>IF(I127&gt;0,I127*'National Rate Table'!E10, 0)</f>
        <v>0</v>
      </c>
      <c r="K127" s="6">
        <f t="shared" si="1"/>
        <v>0</v>
      </c>
      <c r="L127" s="6"/>
      <c r="M127" s="5"/>
      <c r="N127" s="5"/>
      <c r="O127" s="5"/>
      <c r="P127" s="5"/>
      <c r="Q127" s="54"/>
    </row>
    <row r="128" spans="2:17" x14ac:dyDescent="0.25">
      <c r="B128" s="21"/>
      <c r="C128" s="4"/>
      <c r="D128" s="4">
        <f>D124*0.7</f>
        <v>0</v>
      </c>
      <c r="E128" s="5" t="s">
        <v>27</v>
      </c>
      <c r="F128" s="5">
        <v>10001</v>
      </c>
      <c r="G128" s="5">
        <v>15000</v>
      </c>
      <c r="H128" s="5" t="s">
        <v>28</v>
      </c>
      <c r="I128" s="5" t="s">
        <v>7</v>
      </c>
      <c r="J128" s="5" t="s">
        <v>29</v>
      </c>
      <c r="K128" s="6"/>
      <c r="L128" s="6"/>
      <c r="M128" s="5"/>
      <c r="N128" s="5"/>
      <c r="O128" s="5"/>
      <c r="P128" s="5"/>
      <c r="Q128" s="54"/>
    </row>
    <row r="129" spans="2:17" x14ac:dyDescent="0.25">
      <c r="B129" s="21"/>
      <c r="C129" s="4"/>
      <c r="D129" s="4"/>
      <c r="E129" s="5"/>
      <c r="F129" s="5"/>
      <c r="G129" s="5"/>
      <c r="H129" s="8">
        <f>H127-5000</f>
        <v>-10000</v>
      </c>
      <c r="I129" s="5">
        <f>IF(H129&gt;5000,5000,H129)</f>
        <v>-10000</v>
      </c>
      <c r="J129" s="5">
        <f>IF(I129&gt;0,I129*'National Rate Table'!E11,0)</f>
        <v>0</v>
      </c>
      <c r="K129" s="6">
        <f t="shared" si="1"/>
        <v>0</v>
      </c>
      <c r="L129" s="6"/>
      <c r="M129" s="5"/>
      <c r="N129" s="5"/>
      <c r="O129" s="5"/>
      <c r="P129" s="5"/>
      <c r="Q129" s="54"/>
    </row>
    <row r="130" spans="2:17" x14ac:dyDescent="0.25">
      <c r="B130" s="21"/>
      <c r="C130" s="4"/>
      <c r="D130" s="4"/>
      <c r="E130" s="5" t="s">
        <v>15</v>
      </c>
      <c r="F130" s="5">
        <v>150000</v>
      </c>
      <c r="G130" s="5"/>
      <c r="H130" s="5" t="s">
        <v>30</v>
      </c>
      <c r="I130" s="5" t="s">
        <v>7</v>
      </c>
      <c r="J130" s="5" t="s">
        <v>31</v>
      </c>
      <c r="K130" s="6"/>
      <c r="L130" s="6"/>
      <c r="M130" s="5"/>
      <c r="N130" s="5"/>
      <c r="O130" s="5"/>
      <c r="P130" s="5"/>
      <c r="Q130" s="54"/>
    </row>
    <row r="131" spans="2:17" x14ac:dyDescent="0.25">
      <c r="B131" s="21"/>
      <c r="C131" s="4"/>
      <c r="D131" s="4"/>
      <c r="E131" s="5"/>
      <c r="F131" s="5"/>
      <c r="G131" s="5"/>
      <c r="H131" s="8">
        <f>H129-5000</f>
        <v>-15000</v>
      </c>
      <c r="I131" s="8">
        <f>H131</f>
        <v>-15000</v>
      </c>
      <c r="J131" s="5">
        <f>IF(I131&gt;0,I131*'National Rate Table'!E12,0)</f>
        <v>0</v>
      </c>
      <c r="K131" s="6">
        <f t="shared" si="1"/>
        <v>0</v>
      </c>
      <c r="L131" s="6"/>
      <c r="M131" s="5"/>
      <c r="N131" s="5"/>
      <c r="O131" s="5"/>
      <c r="P131" s="5"/>
      <c r="Q131" s="54"/>
    </row>
    <row r="132" spans="2:17" x14ac:dyDescent="0.25">
      <c r="B132" s="21"/>
      <c r="C132" s="4"/>
      <c r="D132" s="4"/>
      <c r="E132" s="5"/>
      <c r="F132" s="5"/>
      <c r="G132" s="5"/>
      <c r="H132" s="15" t="s">
        <v>33</v>
      </c>
      <c r="I132" s="15">
        <f>SUM(I119:I131)</f>
        <v>-31150</v>
      </c>
      <c r="J132" s="15">
        <f>SUM(J119:J131)</f>
        <v>0</v>
      </c>
      <c r="K132" s="16">
        <f>SUM(K119:K131)</f>
        <v>0</v>
      </c>
      <c r="L132" s="16"/>
      <c r="M132" s="15"/>
      <c r="N132" s="5"/>
      <c r="O132" s="5"/>
      <c r="P132" s="5"/>
      <c r="Q132" s="54"/>
    </row>
    <row r="133" spans="2:17" x14ac:dyDescent="0.25">
      <c r="B133" s="21"/>
      <c r="C133" s="4"/>
      <c r="D133" s="9"/>
      <c r="E133" s="10"/>
      <c r="F133" s="10"/>
      <c r="G133" s="10"/>
      <c r="H133" s="11" t="s">
        <v>116</v>
      </c>
      <c r="I133" s="10"/>
      <c r="J133" s="11">
        <f>J132*0.3</f>
        <v>0</v>
      </c>
      <c r="K133" s="12">
        <f>K132*0.3</f>
        <v>0</v>
      </c>
      <c r="L133" s="16"/>
      <c r="M133" s="15"/>
      <c r="N133" s="5"/>
      <c r="O133" s="5"/>
      <c r="P133" s="5"/>
      <c r="Q133" s="54"/>
    </row>
    <row r="134" spans="2:17" x14ac:dyDescent="0.25">
      <c r="B134" s="21"/>
      <c r="C134" s="4"/>
      <c r="D134" s="5"/>
      <c r="E134" s="5"/>
      <c r="F134" s="5"/>
      <c r="G134" s="5"/>
      <c r="H134" s="15"/>
      <c r="I134" s="15"/>
      <c r="J134" s="15"/>
      <c r="K134" s="5"/>
      <c r="L134" s="6"/>
      <c r="M134" s="5"/>
      <c r="N134" s="5"/>
      <c r="O134" s="5"/>
      <c r="P134" s="5"/>
      <c r="Q134" s="54"/>
    </row>
    <row r="135" spans="2:17" x14ac:dyDescent="0.25">
      <c r="B135" s="21"/>
      <c r="C135" s="4"/>
      <c r="D135" s="5"/>
      <c r="E135" s="5"/>
      <c r="F135" s="5"/>
      <c r="G135" s="5"/>
      <c r="H135" s="5"/>
      <c r="I135" s="5"/>
      <c r="J135" s="5"/>
      <c r="K135" s="5"/>
      <c r="L135" s="6"/>
      <c r="M135" s="5"/>
      <c r="N135" s="5"/>
      <c r="O135" s="5"/>
      <c r="P135" s="5"/>
      <c r="Q135" s="54"/>
    </row>
    <row r="136" spans="2:17" x14ac:dyDescent="0.25">
      <c r="B136" s="21"/>
      <c r="C136" s="4"/>
      <c r="D136" s="1" t="s">
        <v>84</v>
      </c>
      <c r="E136" s="2"/>
      <c r="F136" s="2"/>
      <c r="G136" s="2"/>
      <c r="H136" s="2"/>
      <c r="I136" s="2"/>
      <c r="J136" s="3"/>
      <c r="K136" s="5"/>
      <c r="L136" s="6"/>
      <c r="M136" s="5"/>
      <c r="N136" s="5"/>
      <c r="O136" s="5"/>
      <c r="P136" s="5"/>
      <c r="Q136" s="54"/>
    </row>
    <row r="137" spans="2:17" x14ac:dyDescent="0.25">
      <c r="B137" s="21"/>
      <c r="C137" s="4"/>
      <c r="D137" s="4"/>
      <c r="E137" s="5"/>
      <c r="F137" s="5" t="s">
        <v>62</v>
      </c>
      <c r="G137" s="5" t="s">
        <v>63</v>
      </c>
      <c r="H137" s="5"/>
      <c r="I137" s="5"/>
      <c r="J137" s="6"/>
      <c r="K137" s="5"/>
      <c r="L137" s="6"/>
      <c r="M137" s="5"/>
      <c r="N137" s="5"/>
      <c r="O137" s="5"/>
      <c r="P137" s="5"/>
      <c r="Q137" s="54"/>
    </row>
    <row r="138" spans="2:17" x14ac:dyDescent="0.25">
      <c r="B138" s="21"/>
      <c r="C138" s="4"/>
      <c r="D138" s="4" t="s">
        <v>0</v>
      </c>
      <c r="E138" s="5"/>
      <c r="F138" s="5">
        <v>0</v>
      </c>
      <c r="G138" s="5">
        <v>49</v>
      </c>
      <c r="H138" s="5" t="s">
        <v>1</v>
      </c>
      <c r="I138" s="5" t="s">
        <v>32</v>
      </c>
      <c r="J138" s="6" t="s">
        <v>3</v>
      </c>
      <c r="K138" s="5"/>
      <c r="L138" s="6"/>
      <c r="M138" s="5"/>
      <c r="N138" s="5"/>
      <c r="O138" s="5"/>
      <c r="P138" s="5"/>
      <c r="Q138" s="54"/>
    </row>
    <row r="139" spans="2:17" x14ac:dyDescent="0.25">
      <c r="B139" s="21"/>
      <c r="C139" s="4"/>
      <c r="D139" s="7">
        <f>'National Rates'!T17</f>
        <v>0</v>
      </c>
      <c r="E139" s="5"/>
      <c r="F139" s="5"/>
      <c r="G139" s="5"/>
      <c r="H139" s="8">
        <f>ROUNDUP((D139/1000),0)</f>
        <v>0</v>
      </c>
      <c r="I139" s="8">
        <f>IF(H139&lt;50,H139,50)</f>
        <v>0</v>
      </c>
      <c r="J139" s="6">
        <f>IF(H139&gt;35,I139*'National Rate Table'!E6,150)</f>
        <v>150</v>
      </c>
      <c r="K139" s="5"/>
      <c r="L139" s="6"/>
      <c r="M139" s="5"/>
      <c r="N139" s="5"/>
      <c r="O139" s="5"/>
      <c r="P139" s="5"/>
      <c r="Q139" s="54"/>
    </row>
    <row r="140" spans="2:17" x14ac:dyDescent="0.25">
      <c r="B140" s="21"/>
      <c r="C140" s="4"/>
      <c r="D140" s="4"/>
      <c r="E140" s="5" t="s">
        <v>23</v>
      </c>
      <c r="F140" s="5">
        <v>50</v>
      </c>
      <c r="G140" s="5">
        <v>100</v>
      </c>
      <c r="H140" s="5" t="s">
        <v>2</v>
      </c>
      <c r="I140" s="5" t="s">
        <v>7</v>
      </c>
      <c r="J140" s="6" t="s">
        <v>8</v>
      </c>
      <c r="K140" s="5"/>
      <c r="L140" s="6"/>
      <c r="M140" s="5"/>
      <c r="N140" s="5"/>
      <c r="O140" s="5"/>
      <c r="P140" s="5"/>
      <c r="Q140" s="54"/>
    </row>
    <row r="141" spans="2:17" x14ac:dyDescent="0.25">
      <c r="B141" s="21"/>
      <c r="C141" s="4"/>
      <c r="D141" s="4"/>
      <c r="E141" s="5"/>
      <c r="F141" s="5"/>
      <c r="G141" s="5"/>
      <c r="H141" s="8">
        <f>H139-50</f>
        <v>-50</v>
      </c>
      <c r="I141" s="8">
        <f>IF(H141&gt;50,50,H141)</f>
        <v>-50</v>
      </c>
      <c r="J141" s="6">
        <f>IF(I141&gt;0,I141*'National Rate Table'!E7,0)</f>
        <v>0</v>
      </c>
      <c r="K141" s="5"/>
      <c r="L141" s="6"/>
      <c r="M141" s="5"/>
      <c r="N141" s="5"/>
      <c r="O141" s="5"/>
      <c r="P141" s="5"/>
      <c r="Q141" s="54"/>
    </row>
    <row r="142" spans="2:17" x14ac:dyDescent="0.25">
      <c r="B142" s="21"/>
      <c r="C142" s="4"/>
      <c r="D142" s="4"/>
      <c r="E142" s="5" t="s">
        <v>24</v>
      </c>
      <c r="F142" s="5">
        <v>101</v>
      </c>
      <c r="G142" s="5">
        <v>1000</v>
      </c>
      <c r="H142" s="5" t="s">
        <v>9</v>
      </c>
      <c r="I142" s="5" t="s">
        <v>7</v>
      </c>
      <c r="J142" s="6" t="s">
        <v>10</v>
      </c>
      <c r="K142" s="5"/>
      <c r="L142" s="6"/>
      <c r="M142" s="5"/>
      <c r="N142" s="5"/>
      <c r="O142" s="5"/>
      <c r="P142" s="5"/>
      <c r="Q142" s="54"/>
    </row>
    <row r="143" spans="2:17" x14ac:dyDescent="0.25">
      <c r="B143" s="21"/>
      <c r="C143" s="4"/>
      <c r="D143" s="4" t="s">
        <v>53</v>
      </c>
      <c r="E143" s="5"/>
      <c r="F143" s="5"/>
      <c r="G143" s="5"/>
      <c r="H143" s="8">
        <f>H141-50</f>
        <v>-100</v>
      </c>
      <c r="I143" s="5">
        <f>IF(H143&gt;900,900,H143)</f>
        <v>-100</v>
      </c>
      <c r="J143" s="6">
        <f>IF(I143&gt;0,I143*'National Rate Table'!E8,0)</f>
        <v>0</v>
      </c>
      <c r="K143" s="5"/>
      <c r="L143" s="6"/>
      <c r="M143" s="5"/>
      <c r="N143" s="5"/>
      <c r="O143" s="5"/>
      <c r="P143" s="5"/>
      <c r="Q143" s="54"/>
    </row>
    <row r="144" spans="2:17" x14ac:dyDescent="0.25">
      <c r="B144" s="21"/>
      <c r="C144" s="4"/>
      <c r="D144" s="4">
        <f>IF(J152&lt;150,150,J152)</f>
        <v>150</v>
      </c>
      <c r="E144" s="5" t="s">
        <v>26</v>
      </c>
      <c r="F144" s="5">
        <v>1001</v>
      </c>
      <c r="G144" s="5">
        <v>5000</v>
      </c>
      <c r="H144" s="5" t="s">
        <v>16</v>
      </c>
      <c r="I144" s="5" t="s">
        <v>7</v>
      </c>
      <c r="J144" s="6" t="s">
        <v>21</v>
      </c>
      <c r="K144" s="5"/>
      <c r="L144" s="6"/>
      <c r="M144" s="5"/>
      <c r="N144" s="5"/>
      <c r="O144" s="5"/>
      <c r="P144" s="5"/>
      <c r="Q144" s="54"/>
    </row>
    <row r="145" spans="2:17" x14ac:dyDescent="0.25">
      <c r="B145" s="21"/>
      <c r="C145" s="4"/>
      <c r="D145" s="4" t="s">
        <v>52</v>
      </c>
      <c r="E145" s="5"/>
      <c r="F145" s="5"/>
      <c r="G145" s="5"/>
      <c r="H145" s="8">
        <f>H143-900</f>
        <v>-1000</v>
      </c>
      <c r="I145" s="5">
        <f>IF(H145&gt;4000,4000,H145)</f>
        <v>-1000</v>
      </c>
      <c r="J145" s="6">
        <f>IF(I145&gt;0,I145*'National Rate Table'!E9,0)</f>
        <v>0</v>
      </c>
      <c r="K145" s="5"/>
      <c r="L145" s="6"/>
      <c r="M145" s="5"/>
      <c r="N145" s="5"/>
      <c r="O145" s="5"/>
      <c r="P145" s="5"/>
      <c r="Q145" s="54"/>
    </row>
    <row r="146" spans="2:17" x14ac:dyDescent="0.25">
      <c r="B146" s="21"/>
      <c r="C146" s="4"/>
      <c r="D146" s="4">
        <f>IF(J152=0,0,D144*1.2)</f>
        <v>0</v>
      </c>
      <c r="E146" s="5" t="s">
        <v>25</v>
      </c>
      <c r="F146" s="5">
        <v>5001</v>
      </c>
      <c r="G146" s="5">
        <v>10000</v>
      </c>
      <c r="H146" s="5" t="s">
        <v>20</v>
      </c>
      <c r="I146" s="5" t="s">
        <v>7</v>
      </c>
      <c r="J146" s="6" t="s">
        <v>22</v>
      </c>
      <c r="K146" s="5"/>
      <c r="L146" s="6"/>
      <c r="M146" s="5"/>
      <c r="N146" s="5"/>
      <c r="O146" s="5"/>
      <c r="P146" s="5"/>
      <c r="Q146" s="54"/>
    </row>
    <row r="147" spans="2:17" x14ac:dyDescent="0.25">
      <c r="B147" s="21"/>
      <c r="C147" s="4"/>
      <c r="D147" s="4" t="s">
        <v>54</v>
      </c>
      <c r="E147" s="5"/>
      <c r="F147" s="5"/>
      <c r="G147" s="5"/>
      <c r="H147" s="8">
        <f>H145-4000</f>
        <v>-5000</v>
      </c>
      <c r="I147" s="5">
        <f>IF(H147&gt;5000,5000,H147)</f>
        <v>-5000</v>
      </c>
      <c r="J147" s="6">
        <f>IF(I147&gt;0,I147*'National Rate Table'!E10, 0)</f>
        <v>0</v>
      </c>
      <c r="K147" s="5"/>
      <c r="L147" s="6"/>
      <c r="M147" s="5"/>
      <c r="N147" s="5"/>
      <c r="O147" s="5"/>
      <c r="P147" s="5"/>
      <c r="Q147" s="54"/>
    </row>
    <row r="148" spans="2:17" x14ac:dyDescent="0.25">
      <c r="B148" s="21"/>
      <c r="C148" s="4"/>
      <c r="D148" s="4">
        <f>D144*0.7</f>
        <v>105</v>
      </c>
      <c r="E148" s="5" t="s">
        <v>27</v>
      </c>
      <c r="F148" s="5">
        <v>10001</v>
      </c>
      <c r="G148" s="5">
        <v>15000</v>
      </c>
      <c r="H148" s="5" t="s">
        <v>28</v>
      </c>
      <c r="I148" s="5" t="s">
        <v>7</v>
      </c>
      <c r="J148" s="6" t="s">
        <v>29</v>
      </c>
      <c r="K148" s="5"/>
      <c r="L148" s="6"/>
      <c r="M148" s="5"/>
      <c r="N148" s="5"/>
      <c r="O148" s="5"/>
      <c r="P148" s="5"/>
      <c r="Q148" s="54"/>
    </row>
    <row r="149" spans="2:17" x14ac:dyDescent="0.25">
      <c r="B149" s="21"/>
      <c r="C149" s="4"/>
      <c r="D149" s="4"/>
      <c r="E149" s="5"/>
      <c r="F149" s="5"/>
      <c r="G149" s="5"/>
      <c r="H149" s="8">
        <f>H147-5000</f>
        <v>-10000</v>
      </c>
      <c r="I149" s="5">
        <f>IF(H149&gt;5000,5000,H149)</f>
        <v>-10000</v>
      </c>
      <c r="J149" s="6">
        <f>IF(I149&gt;0,I149*'National Rate Table'!E11,0)</f>
        <v>0</v>
      </c>
      <c r="K149" s="5"/>
      <c r="L149" s="6"/>
      <c r="M149" s="5"/>
      <c r="N149" s="5"/>
      <c r="O149" s="5"/>
      <c r="P149" s="5"/>
      <c r="Q149" s="54"/>
    </row>
    <row r="150" spans="2:17" x14ac:dyDescent="0.25">
      <c r="B150" s="21"/>
      <c r="C150" s="4"/>
      <c r="D150" s="4"/>
      <c r="E150" s="5" t="s">
        <v>15</v>
      </c>
      <c r="F150" s="5">
        <v>150000</v>
      </c>
      <c r="G150" s="5"/>
      <c r="H150" s="5" t="s">
        <v>30</v>
      </c>
      <c r="I150" s="5" t="s">
        <v>7</v>
      </c>
      <c r="J150" s="6" t="s">
        <v>31</v>
      </c>
      <c r="K150" s="5"/>
      <c r="L150" s="6"/>
      <c r="M150" s="5"/>
      <c r="N150" s="5"/>
      <c r="O150" s="5"/>
      <c r="P150" s="5"/>
      <c r="Q150" s="54"/>
    </row>
    <row r="151" spans="2:17" x14ac:dyDescent="0.25">
      <c r="B151" s="21"/>
      <c r="C151" s="4"/>
      <c r="D151" s="4"/>
      <c r="E151" s="5"/>
      <c r="F151" s="5"/>
      <c r="G151" s="5"/>
      <c r="H151" s="8">
        <f>H149-5000</f>
        <v>-15000</v>
      </c>
      <c r="I151" s="8">
        <f>H151</f>
        <v>-15000</v>
      </c>
      <c r="J151" s="6">
        <f>IF(I151&gt;0,I151*'National Rate Table'!E12,0)</f>
        <v>0</v>
      </c>
      <c r="K151" s="5"/>
      <c r="L151" s="6"/>
      <c r="M151" s="5"/>
      <c r="N151" s="5"/>
      <c r="O151" s="5"/>
      <c r="P151" s="5"/>
      <c r="Q151" s="54"/>
    </row>
    <row r="152" spans="2:17" x14ac:dyDescent="0.25">
      <c r="B152" s="21"/>
      <c r="C152" s="4"/>
      <c r="D152" s="9"/>
      <c r="E152" s="10"/>
      <c r="F152" s="10"/>
      <c r="G152" s="10"/>
      <c r="H152" s="11" t="s">
        <v>33</v>
      </c>
      <c r="I152" s="11">
        <f>SUM(I139:I151)</f>
        <v>-31150</v>
      </c>
      <c r="J152" s="12">
        <f>IF(D139&gt;0,(SUM(J139:J151)*0.7),0)</f>
        <v>0</v>
      </c>
      <c r="K152" s="5"/>
      <c r="L152" s="6"/>
      <c r="M152" s="5"/>
      <c r="N152" s="5"/>
      <c r="O152" s="5"/>
      <c r="P152" s="5"/>
      <c r="Q152" s="54"/>
    </row>
    <row r="153" spans="2:17" ht="6.95" customHeight="1" x14ac:dyDescent="0.25">
      <c r="B153" s="21"/>
      <c r="C153" s="9"/>
      <c r="D153" s="10"/>
      <c r="E153" s="10"/>
      <c r="F153" s="10"/>
      <c r="G153" s="10"/>
      <c r="H153" s="10"/>
      <c r="I153" s="10"/>
      <c r="J153" s="10"/>
      <c r="K153" s="10"/>
      <c r="L153" s="20"/>
      <c r="M153" s="5"/>
      <c r="N153" s="5"/>
      <c r="O153" s="5"/>
      <c r="P153" s="5"/>
      <c r="Q153" s="54"/>
    </row>
    <row r="154" spans="2:17" ht="6.95" customHeight="1" x14ac:dyDescent="0.25">
      <c r="B154" s="46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58"/>
    </row>
    <row r="155" spans="2:17" s="23" customFormat="1" ht="6.95" customHeight="1" x14ac:dyDescent="0.25"/>
  </sheetData>
  <mergeCells count="2">
    <mergeCell ref="B2:Q2"/>
    <mergeCell ref="B3:Q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4"/>
  <sheetViews>
    <sheetView zoomScale="85" zoomScaleNormal="85" zoomScalePageLayoutView="85" workbookViewId="0">
      <selection activeCell="E6" sqref="E6"/>
    </sheetView>
  </sheetViews>
  <sheetFormatPr defaultColWidth="0" defaultRowHeight="15.75" zeroHeight="1" x14ac:dyDescent="0.25"/>
  <cols>
    <col min="1" max="1" width="1.125" style="23" customWidth="1"/>
    <col min="2" max="2" width="1.125" customWidth="1"/>
    <col min="3" max="5" width="12" customWidth="1"/>
    <col min="6" max="6" width="1.125" customWidth="1"/>
    <col min="7" max="7" width="1.125" style="23" customWidth="1"/>
    <col min="8" max="16384" width="10.875" hidden="1"/>
  </cols>
  <sheetData>
    <row r="1" spans="2:6" s="23" customFormat="1" ht="6.95" customHeight="1" x14ac:dyDescent="0.25"/>
    <row r="2" spans="2:6" x14ac:dyDescent="0.25">
      <c r="B2" s="271" t="s">
        <v>100</v>
      </c>
      <c r="C2" s="358"/>
      <c r="D2" s="358"/>
      <c r="E2" s="358"/>
      <c r="F2" s="272"/>
    </row>
    <row r="3" spans="2:6" x14ac:dyDescent="0.25">
      <c r="B3" s="273" t="s">
        <v>127</v>
      </c>
      <c r="C3" s="359"/>
      <c r="D3" s="359"/>
      <c r="E3" s="359"/>
      <c r="F3" s="274"/>
    </row>
    <row r="4" spans="2:6" ht="6.95" customHeight="1" x14ac:dyDescent="0.25">
      <c r="B4" s="153"/>
      <c r="C4" s="143"/>
      <c r="D4" s="143"/>
      <c r="E4" s="143"/>
      <c r="F4" s="154"/>
    </row>
    <row r="5" spans="2:6" x14ac:dyDescent="0.25">
      <c r="B5" s="4"/>
      <c r="C5" s="147" t="s">
        <v>4</v>
      </c>
      <c r="D5" s="148" t="s">
        <v>18</v>
      </c>
      <c r="E5" s="149" t="s">
        <v>17</v>
      </c>
      <c r="F5" s="6"/>
    </row>
    <row r="6" spans="2:6" x14ac:dyDescent="0.25">
      <c r="B6" s="4"/>
      <c r="C6" s="150" t="s">
        <v>5</v>
      </c>
      <c r="D6" s="151" t="s">
        <v>19</v>
      </c>
      <c r="E6" s="152">
        <v>4.25</v>
      </c>
      <c r="F6" s="6"/>
    </row>
    <row r="7" spans="2:6" x14ac:dyDescent="0.25">
      <c r="B7" s="4"/>
      <c r="C7" s="4" t="s">
        <v>6</v>
      </c>
      <c r="D7" s="5">
        <v>1</v>
      </c>
      <c r="E7" s="6">
        <v>3.5</v>
      </c>
      <c r="F7" s="6"/>
    </row>
    <row r="8" spans="2:6" x14ac:dyDescent="0.25">
      <c r="B8" s="4"/>
      <c r="C8" s="4" t="s">
        <v>11</v>
      </c>
      <c r="D8" s="5">
        <v>2</v>
      </c>
      <c r="E8" s="6">
        <v>2.5</v>
      </c>
      <c r="F8" s="6"/>
    </row>
    <row r="9" spans="2:6" x14ac:dyDescent="0.25">
      <c r="B9" s="4"/>
      <c r="C9" s="4" t="s">
        <v>12</v>
      </c>
      <c r="D9" s="5">
        <v>3</v>
      </c>
      <c r="E9" s="6">
        <v>2</v>
      </c>
      <c r="F9" s="6"/>
    </row>
    <row r="10" spans="2:6" x14ac:dyDescent="0.25">
      <c r="B10" s="4"/>
      <c r="C10" s="4" t="s">
        <v>13</v>
      </c>
      <c r="D10" s="5">
        <v>4</v>
      </c>
      <c r="E10" s="6">
        <v>1.5</v>
      </c>
      <c r="F10" s="6"/>
    </row>
    <row r="11" spans="2:6" x14ac:dyDescent="0.25">
      <c r="B11" s="4"/>
      <c r="C11" s="4" t="s">
        <v>14</v>
      </c>
      <c r="D11" s="5">
        <v>5</v>
      </c>
      <c r="E11" s="6">
        <v>1.25</v>
      </c>
      <c r="F11" s="6"/>
    </row>
    <row r="12" spans="2:6" x14ac:dyDescent="0.25">
      <c r="B12" s="4"/>
      <c r="C12" s="9" t="s">
        <v>15</v>
      </c>
      <c r="D12" s="10">
        <v>6</v>
      </c>
      <c r="E12" s="20">
        <v>1</v>
      </c>
      <c r="F12" s="6"/>
    </row>
    <row r="13" spans="2:6" ht="6.95" customHeight="1" x14ac:dyDescent="0.25">
      <c r="B13" s="9"/>
      <c r="C13" s="10"/>
      <c r="D13" s="10"/>
      <c r="E13" s="10"/>
      <c r="F13" s="20"/>
    </row>
    <row r="14" spans="2:6" s="23" customFormat="1" ht="6.95" customHeight="1" x14ac:dyDescent="0.25"/>
  </sheetData>
  <mergeCells count="2">
    <mergeCell ref="B2:F2"/>
    <mergeCell ref="B3:F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5"/>
  <sheetViews>
    <sheetView workbookViewId="0">
      <selection activeCell="B3" sqref="B3:F3"/>
    </sheetView>
  </sheetViews>
  <sheetFormatPr defaultColWidth="0" defaultRowHeight="15.75" zeroHeight="1" x14ac:dyDescent="0.25"/>
  <cols>
    <col min="1" max="1" width="1.125" style="23" customWidth="1"/>
    <col min="2" max="2" width="1.125" customWidth="1"/>
    <col min="3" max="5" width="18" customWidth="1"/>
    <col min="6" max="6" width="3.375" customWidth="1"/>
    <col min="7" max="7" width="1.125" style="23" customWidth="1"/>
    <col min="8" max="16384" width="10.875" hidden="1"/>
  </cols>
  <sheetData>
    <row r="1" spans="2:6" s="23" customFormat="1" ht="6.95" customHeight="1" x14ac:dyDescent="0.25"/>
    <row r="2" spans="2:6" x14ac:dyDescent="0.25">
      <c r="B2" s="360" t="s">
        <v>136</v>
      </c>
      <c r="C2" s="361"/>
      <c r="D2" s="361"/>
      <c r="E2" s="361"/>
      <c r="F2" s="362"/>
    </row>
    <row r="3" spans="2:6" x14ac:dyDescent="0.25">
      <c r="B3" s="363" t="s">
        <v>127</v>
      </c>
      <c r="C3" s="364"/>
      <c r="D3" s="364"/>
      <c r="E3" s="364"/>
      <c r="F3" s="365"/>
    </row>
    <row r="4" spans="2:6" x14ac:dyDescent="0.25">
      <c r="B4" s="4"/>
      <c r="C4" s="5"/>
      <c r="D4" s="5"/>
      <c r="E4" s="5"/>
      <c r="F4" s="6"/>
    </row>
    <row r="5" spans="2:6" x14ac:dyDescent="0.25">
      <c r="B5" s="4"/>
      <c r="C5" s="147" t="s">
        <v>4</v>
      </c>
      <c r="D5" s="148" t="s">
        <v>18</v>
      </c>
      <c r="E5" s="149" t="s">
        <v>17</v>
      </c>
      <c r="F5" s="6"/>
    </row>
    <row r="6" spans="2:6" x14ac:dyDescent="0.25">
      <c r="B6" s="4"/>
      <c r="C6" s="9" t="s">
        <v>34</v>
      </c>
      <c r="D6" s="10" t="s">
        <v>19</v>
      </c>
      <c r="E6" s="20">
        <v>200</v>
      </c>
      <c r="F6" s="6"/>
    </row>
    <row r="7" spans="2:6" x14ac:dyDescent="0.25">
      <c r="B7" s="4"/>
      <c r="C7" s="4" t="s">
        <v>6</v>
      </c>
      <c r="D7" s="5">
        <v>1</v>
      </c>
      <c r="E7" s="6">
        <v>6</v>
      </c>
      <c r="F7" s="6"/>
    </row>
    <row r="8" spans="2:6" x14ac:dyDescent="0.25">
      <c r="B8" s="4"/>
      <c r="C8" s="4" t="s">
        <v>35</v>
      </c>
      <c r="D8" s="5">
        <v>2</v>
      </c>
      <c r="E8" s="6">
        <v>4.5</v>
      </c>
      <c r="F8" s="6"/>
    </row>
    <row r="9" spans="2:6" x14ac:dyDescent="0.25">
      <c r="B9" s="4"/>
      <c r="C9" s="4" t="s">
        <v>36</v>
      </c>
      <c r="D9" s="5">
        <v>3</v>
      </c>
      <c r="E9" s="6">
        <v>3</v>
      </c>
      <c r="F9" s="6"/>
    </row>
    <row r="10" spans="2:6" x14ac:dyDescent="0.25">
      <c r="B10" s="4"/>
      <c r="C10" s="4" t="s">
        <v>37</v>
      </c>
      <c r="D10" s="5">
        <v>4</v>
      </c>
      <c r="E10" s="6">
        <v>2</v>
      </c>
      <c r="F10" s="6"/>
    </row>
    <row r="11" spans="2:6" x14ac:dyDescent="0.25">
      <c r="B11" s="4"/>
      <c r="C11" s="4" t="s">
        <v>38</v>
      </c>
      <c r="D11" s="5">
        <v>5</v>
      </c>
      <c r="E11" s="6">
        <v>1.5</v>
      </c>
      <c r="F11" s="6"/>
    </row>
    <row r="12" spans="2:6" x14ac:dyDescent="0.25">
      <c r="B12" s="4"/>
      <c r="C12" s="4" t="s">
        <v>39</v>
      </c>
      <c r="D12" s="5">
        <v>6</v>
      </c>
      <c r="E12" s="6">
        <v>1.25</v>
      </c>
      <c r="F12" s="6"/>
    </row>
    <row r="13" spans="2:6" x14ac:dyDescent="0.25">
      <c r="B13" s="4"/>
      <c r="C13" s="9" t="s">
        <v>15</v>
      </c>
      <c r="D13" s="10">
        <v>7</v>
      </c>
      <c r="E13" s="20">
        <v>1</v>
      </c>
      <c r="F13" s="6"/>
    </row>
    <row r="14" spans="2:6" s="23" customFormat="1" ht="6.95" customHeight="1" x14ac:dyDescent="0.25">
      <c r="B14" s="46"/>
      <c r="C14" s="57"/>
      <c r="D14" s="57"/>
      <c r="E14" s="57"/>
      <c r="F14" s="58"/>
    </row>
    <row r="15" spans="2:6" s="23" customFormat="1" ht="6.95" customHeight="1" x14ac:dyDescent="0.25"/>
  </sheetData>
  <mergeCells count="2">
    <mergeCell ref="B2:F2"/>
    <mergeCell ref="B3:F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47"/>
  <sheetViews>
    <sheetView showGridLines="0" showRowColHeaders="0" zoomScale="78" zoomScaleNormal="78" zoomScalePageLayoutView="78" workbookViewId="0">
      <selection activeCell="I13" sqref="I13"/>
    </sheetView>
  </sheetViews>
  <sheetFormatPr defaultColWidth="10.875" defaultRowHeight="15.75" x14ac:dyDescent="0.25"/>
  <cols>
    <col min="1" max="1" width="1" style="87" customWidth="1"/>
    <col min="2" max="5" width="1.125" style="87" customWidth="1"/>
    <col min="6" max="6" width="32.375" style="87" customWidth="1"/>
    <col min="7" max="7" width="14.125" style="87" customWidth="1"/>
    <col min="8" max="8" width="1.125" style="87" customWidth="1"/>
    <col min="9" max="9" width="15.5" style="87" customWidth="1"/>
    <col min="10" max="10" width="19.625" style="87" customWidth="1"/>
    <col min="11" max="11" width="11.625" style="87" bestFit="1" customWidth="1"/>
    <col min="12" max="13" width="1.125" style="87" customWidth="1"/>
    <col min="14" max="14" width="1.875" style="87" customWidth="1"/>
    <col min="15" max="16" width="1.125" style="87" customWidth="1"/>
    <col min="17" max="17" width="32.375" style="87" customWidth="1"/>
    <col min="18" max="18" width="12.5" style="87" customWidth="1"/>
    <col min="19" max="19" width="1.125" style="87" customWidth="1"/>
    <col min="20" max="20" width="15.5" style="87" customWidth="1"/>
    <col min="21" max="21" width="16.375" style="87" customWidth="1"/>
    <col min="22" max="22" width="12" style="87" bestFit="1" customWidth="1"/>
    <col min="23" max="23" width="1.125" style="87" customWidth="1"/>
    <col min="24" max="24" width="1.75" style="87" customWidth="1"/>
    <col min="25" max="27" width="1.125" style="87" customWidth="1"/>
    <col min="28" max="28" width="12.5" style="87" customWidth="1"/>
    <col min="29" max="16384" width="10.875" style="87"/>
  </cols>
  <sheetData>
    <row r="1" spans="1:26" ht="6.95" customHeight="1" x14ac:dyDescent="0.25"/>
    <row r="2" spans="1:26" x14ac:dyDescent="0.25">
      <c r="F2" s="99" t="s">
        <v>96</v>
      </c>
    </row>
    <row r="3" spans="1:26" ht="6.95" customHeight="1" x14ac:dyDescent="0.25">
      <c r="G3" s="88"/>
      <c r="H3" s="88"/>
    </row>
    <row r="4" spans="1:26" ht="6.95" customHeight="1" x14ac:dyDescent="0.25">
      <c r="B4" s="23"/>
      <c r="C4" s="23"/>
      <c r="D4" s="23"/>
      <c r="E4" s="23"/>
      <c r="F4" s="23"/>
      <c r="G4" s="77"/>
      <c r="H4" s="77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6.95" customHeight="1" x14ac:dyDescent="0.25">
      <c r="B5" s="23"/>
      <c r="C5" s="305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7"/>
      <c r="Z5" s="23"/>
    </row>
    <row r="6" spans="1:26" ht="24.95" customHeight="1" x14ac:dyDescent="0.25">
      <c r="A6" s="89"/>
      <c r="B6" s="70"/>
      <c r="C6" s="329" t="s">
        <v>93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1"/>
      <c r="Z6" s="70"/>
    </row>
    <row r="7" spans="1:26" ht="21.95" customHeight="1" x14ac:dyDescent="0.25">
      <c r="A7" s="89"/>
      <c r="B7" s="70"/>
      <c r="C7" s="335" t="s">
        <v>92</v>
      </c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336"/>
      <c r="S7" s="336"/>
      <c r="T7" s="336"/>
      <c r="U7" s="336"/>
      <c r="V7" s="336"/>
      <c r="W7" s="336"/>
      <c r="X7" s="336"/>
      <c r="Y7" s="337"/>
      <c r="Z7" s="70"/>
    </row>
    <row r="8" spans="1:26" ht="21.95" customHeight="1" x14ac:dyDescent="0.25">
      <c r="A8" s="89"/>
      <c r="B8" s="70"/>
      <c r="C8" s="332" t="s">
        <v>134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4"/>
      <c r="Z8" s="70"/>
    </row>
    <row r="9" spans="1:26" ht="11.1" customHeight="1" x14ac:dyDescent="0.25">
      <c r="A9" s="89"/>
      <c r="B9" s="70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6"/>
      <c r="Z9" s="70"/>
    </row>
    <row r="10" spans="1:26" ht="9.9499999999999993" customHeight="1" x14ac:dyDescent="0.25">
      <c r="B10" s="23"/>
      <c r="C10" s="71"/>
      <c r="D10" s="24"/>
      <c r="E10" s="24"/>
      <c r="F10" s="24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75"/>
      <c r="Z10" s="23"/>
    </row>
    <row r="11" spans="1:26" ht="20.100000000000001" customHeight="1" x14ac:dyDescent="0.25">
      <c r="B11" s="23"/>
      <c r="C11" s="71"/>
      <c r="D11" s="326" t="s">
        <v>133</v>
      </c>
      <c r="E11" s="327"/>
      <c r="F11" s="327"/>
      <c r="G11" s="327"/>
      <c r="H11" s="327"/>
      <c r="I11" s="327"/>
      <c r="J11" s="327"/>
      <c r="K11" s="327"/>
      <c r="L11" s="327"/>
      <c r="M11" s="328"/>
      <c r="N11" s="24"/>
      <c r="O11" s="326" t="s">
        <v>146</v>
      </c>
      <c r="P11" s="327"/>
      <c r="Q11" s="327"/>
      <c r="R11" s="327"/>
      <c r="S11" s="327"/>
      <c r="T11" s="327"/>
      <c r="U11" s="327"/>
      <c r="V11" s="327"/>
      <c r="W11" s="327"/>
      <c r="X11" s="328"/>
      <c r="Y11" s="75"/>
      <c r="Z11" s="23"/>
    </row>
    <row r="12" spans="1:26" ht="9.9499999999999993" customHeight="1" thickBot="1" x14ac:dyDescent="0.3">
      <c r="B12" s="23"/>
      <c r="C12" s="71"/>
      <c r="D12" s="26"/>
      <c r="E12" s="27"/>
      <c r="F12" s="27"/>
      <c r="G12" s="28"/>
      <c r="H12" s="28"/>
      <c r="I12" s="27"/>
      <c r="J12" s="27"/>
      <c r="K12" s="27"/>
      <c r="L12" s="27"/>
      <c r="M12" s="29"/>
      <c r="N12" s="24"/>
      <c r="O12" s="26"/>
      <c r="P12" s="27"/>
      <c r="Q12" s="27"/>
      <c r="R12" s="27"/>
      <c r="S12" s="27"/>
      <c r="T12" s="27"/>
      <c r="U12" s="27"/>
      <c r="V12" s="27"/>
      <c r="W12" s="27"/>
      <c r="X12" s="29"/>
      <c r="Y12" s="75"/>
      <c r="Z12" s="23"/>
    </row>
    <row r="13" spans="1:26" ht="16.5" thickBot="1" x14ac:dyDescent="0.3">
      <c r="B13" s="23"/>
      <c r="C13" s="71"/>
      <c r="D13" s="342" t="s">
        <v>152</v>
      </c>
      <c r="E13" s="343"/>
      <c r="F13" s="343"/>
      <c r="G13" s="343"/>
      <c r="H13" s="30"/>
      <c r="I13" s="94"/>
      <c r="J13" s="31"/>
      <c r="K13" s="27"/>
      <c r="L13" s="27"/>
      <c r="M13" s="29"/>
      <c r="N13" s="24"/>
      <c r="O13" s="26"/>
      <c r="P13" s="27"/>
      <c r="Q13" s="27"/>
      <c r="R13" s="189" t="s">
        <v>155</v>
      </c>
      <c r="S13" s="27"/>
      <c r="T13" s="206">
        <v>0</v>
      </c>
      <c r="U13" s="27"/>
      <c r="V13" s="27"/>
      <c r="W13" s="27"/>
      <c r="X13" s="29"/>
      <c r="Y13" s="75"/>
      <c r="Z13" s="23"/>
    </row>
    <row r="14" spans="1:26" ht="16.5" thickBot="1" x14ac:dyDescent="0.3">
      <c r="B14" s="23"/>
      <c r="C14" s="71"/>
      <c r="D14" s="33"/>
      <c r="E14" s="34"/>
      <c r="F14" s="34"/>
      <c r="G14" s="34"/>
      <c r="H14" s="34"/>
      <c r="I14" s="92"/>
      <c r="J14" s="32"/>
      <c r="K14" s="27"/>
      <c r="L14" s="27"/>
      <c r="M14" s="29"/>
      <c r="N14" s="24"/>
      <c r="O14" s="26"/>
      <c r="P14" s="27"/>
      <c r="Q14" s="343"/>
      <c r="R14" s="343"/>
      <c r="S14" s="27"/>
      <c r="T14" s="175"/>
      <c r="U14" s="27"/>
      <c r="V14" s="27"/>
      <c r="W14" s="27"/>
      <c r="X14" s="29"/>
      <c r="Y14" s="75"/>
      <c r="Z14" s="23"/>
    </row>
    <row r="15" spans="1:26" ht="16.5" thickBot="1" x14ac:dyDescent="0.3">
      <c r="B15" s="23"/>
      <c r="C15" s="71"/>
      <c r="D15" s="342" t="s">
        <v>153</v>
      </c>
      <c r="E15" s="343"/>
      <c r="F15" s="343"/>
      <c r="G15" s="343"/>
      <c r="H15" s="30"/>
      <c r="I15" s="94">
        <v>0</v>
      </c>
      <c r="J15" s="31"/>
      <c r="K15" s="27"/>
      <c r="L15" s="27"/>
      <c r="M15" s="29"/>
      <c r="N15" s="24"/>
      <c r="O15" s="26"/>
      <c r="P15" s="27"/>
      <c r="Q15" s="341" t="s">
        <v>154</v>
      </c>
      <c r="R15" s="341"/>
      <c r="S15" s="131"/>
      <c r="T15" s="95">
        <v>0</v>
      </c>
      <c r="U15" s="171"/>
      <c r="V15" s="27"/>
      <c r="W15" s="27"/>
      <c r="X15" s="29"/>
      <c r="Y15" s="75"/>
      <c r="Z15" s="23"/>
    </row>
    <row r="16" spans="1:26" ht="16.5" thickBot="1" x14ac:dyDescent="0.3">
      <c r="B16" s="23"/>
      <c r="C16" s="71"/>
      <c r="D16" s="26"/>
      <c r="E16" s="27"/>
      <c r="F16" s="27"/>
      <c r="G16" s="28"/>
      <c r="H16" s="28"/>
      <c r="I16" s="28"/>
      <c r="J16" s="27"/>
      <c r="K16" s="27"/>
      <c r="L16" s="27"/>
      <c r="M16" s="29"/>
      <c r="N16" s="24"/>
      <c r="O16" s="26"/>
      <c r="P16" s="27"/>
      <c r="Q16" s="27"/>
      <c r="R16" s="27"/>
      <c r="S16" s="27"/>
      <c r="T16" s="27"/>
      <c r="U16" s="27"/>
      <c r="V16" s="27"/>
      <c r="W16" s="27"/>
      <c r="X16" s="29"/>
      <c r="Y16" s="75"/>
      <c r="Z16" s="23"/>
    </row>
    <row r="17" spans="2:26" ht="16.5" thickBot="1" x14ac:dyDescent="0.3">
      <c r="B17" s="23"/>
      <c r="C17" s="71"/>
      <c r="D17" s="342" t="s">
        <v>88</v>
      </c>
      <c r="E17" s="343"/>
      <c r="F17" s="343"/>
      <c r="G17" s="343"/>
      <c r="H17" s="28"/>
      <c r="I17" s="95">
        <v>0</v>
      </c>
      <c r="J17" s="27"/>
      <c r="K17" s="27"/>
      <c r="L17" s="27"/>
      <c r="M17" s="29"/>
      <c r="N17" s="24"/>
      <c r="O17" s="26"/>
      <c r="P17" s="27"/>
      <c r="Q17" s="343" t="s">
        <v>151</v>
      </c>
      <c r="R17" s="343"/>
      <c r="S17" s="27"/>
      <c r="T17" s="95">
        <v>0</v>
      </c>
      <c r="U17" s="27"/>
      <c r="V17" s="27"/>
      <c r="W17" s="27"/>
      <c r="X17" s="29"/>
      <c r="Y17" s="75"/>
      <c r="Z17" s="23"/>
    </row>
    <row r="18" spans="2:26" ht="9.9499999999999993" customHeight="1" x14ac:dyDescent="0.25">
      <c r="B18" s="23"/>
      <c r="C18" s="71"/>
      <c r="D18" s="26"/>
      <c r="E18" s="27"/>
      <c r="F18" s="27"/>
      <c r="G18" s="28"/>
      <c r="H18" s="28"/>
      <c r="I18" s="27"/>
      <c r="J18" s="28"/>
      <c r="K18" s="27"/>
      <c r="L18" s="27"/>
      <c r="M18" s="29"/>
      <c r="N18" s="24"/>
      <c r="O18" s="26"/>
      <c r="P18" s="27"/>
      <c r="Q18" s="168"/>
      <c r="R18" s="168"/>
      <c r="S18" s="27"/>
      <c r="T18" s="175"/>
      <c r="U18" s="27"/>
      <c r="V18" s="27"/>
      <c r="W18" s="27"/>
      <c r="X18" s="29"/>
      <c r="Y18" s="75"/>
      <c r="Z18" s="23"/>
    </row>
    <row r="19" spans="2:26" x14ac:dyDescent="0.25">
      <c r="B19" s="23"/>
      <c r="C19" s="71"/>
      <c r="D19" s="26"/>
      <c r="E19" s="294" t="s">
        <v>89</v>
      </c>
      <c r="F19" s="295"/>
      <c r="G19" s="295"/>
      <c r="H19" s="295"/>
      <c r="I19" s="295"/>
      <c r="J19" s="295"/>
      <c r="K19" s="295"/>
      <c r="L19" s="296"/>
      <c r="M19" s="29"/>
      <c r="N19" s="24"/>
      <c r="O19" s="26"/>
      <c r="P19" s="294" t="s">
        <v>89</v>
      </c>
      <c r="Q19" s="295"/>
      <c r="R19" s="295"/>
      <c r="S19" s="295"/>
      <c r="T19" s="295"/>
      <c r="U19" s="295"/>
      <c r="V19" s="295"/>
      <c r="W19" s="296"/>
      <c r="X19" s="29"/>
      <c r="Y19" s="75"/>
      <c r="Z19" s="23"/>
    </row>
    <row r="20" spans="2:26" ht="9.9499999999999993" customHeight="1" x14ac:dyDescent="0.25">
      <c r="B20" s="23"/>
      <c r="C20" s="71"/>
      <c r="D20" s="26"/>
      <c r="E20" s="21"/>
      <c r="F20" s="44"/>
      <c r="G20" s="44"/>
      <c r="H20" s="44"/>
      <c r="I20" s="44"/>
      <c r="J20" s="44"/>
      <c r="K20" s="44"/>
      <c r="L20" s="45"/>
      <c r="M20" s="39"/>
      <c r="N20" s="24"/>
      <c r="O20" s="26"/>
      <c r="P20" s="78"/>
      <c r="Q20" s="79"/>
      <c r="R20" s="79"/>
      <c r="S20" s="79"/>
      <c r="T20" s="79"/>
      <c r="U20" s="79"/>
      <c r="V20" s="79"/>
      <c r="W20" s="80"/>
      <c r="X20" s="29"/>
      <c r="Y20" s="75"/>
      <c r="Z20" s="23"/>
    </row>
    <row r="21" spans="2:26" x14ac:dyDescent="0.25">
      <c r="B21" s="23"/>
      <c r="C21" s="71"/>
      <c r="D21" s="26"/>
      <c r="E21" s="21"/>
      <c r="F21" s="349" t="s">
        <v>90</v>
      </c>
      <c r="G21" s="350"/>
      <c r="H21" s="53"/>
      <c r="I21" s="349" t="s">
        <v>87</v>
      </c>
      <c r="J21" s="351"/>
      <c r="K21" s="350"/>
      <c r="L21" s="45"/>
      <c r="M21" s="39"/>
      <c r="N21" s="24"/>
      <c r="O21" s="26"/>
      <c r="P21" s="21"/>
      <c r="Q21" s="349" t="s">
        <v>90</v>
      </c>
      <c r="R21" s="350"/>
      <c r="S21" s="52"/>
      <c r="T21" s="349" t="s">
        <v>87</v>
      </c>
      <c r="U21" s="351"/>
      <c r="V21" s="350"/>
      <c r="W21" s="54"/>
      <c r="X21" s="29"/>
      <c r="Y21" s="75"/>
      <c r="Z21" s="23"/>
    </row>
    <row r="22" spans="2:26" x14ac:dyDescent="0.25">
      <c r="B22" s="23"/>
      <c r="C22" s="71"/>
      <c r="D22" s="26"/>
      <c r="E22" s="21"/>
      <c r="F22" s="59" t="s">
        <v>58</v>
      </c>
      <c r="G22" s="60">
        <f>'DMRW Data'!D14</f>
        <v>0</v>
      </c>
      <c r="H22" s="53"/>
      <c r="I22" s="324" t="s">
        <v>59</v>
      </c>
      <c r="J22" s="325"/>
      <c r="K22" s="60">
        <f>'DMRW Data'!D16</f>
        <v>0</v>
      </c>
      <c r="L22" s="22"/>
      <c r="M22" s="39"/>
      <c r="N22" s="24"/>
      <c r="O22" s="26"/>
      <c r="P22" s="21"/>
      <c r="Q22" s="192" t="s">
        <v>148</v>
      </c>
      <c r="R22" s="66">
        <f>IF(T13=0,0,'DMRW Data'!D96)</f>
        <v>0</v>
      </c>
      <c r="S22" s="81"/>
      <c r="T22" s="312" t="s">
        <v>148</v>
      </c>
      <c r="U22" s="309"/>
      <c r="V22" s="66">
        <f>IF(T13=0,0,'DMRW Data'!D98)</f>
        <v>0</v>
      </c>
      <c r="W22" s="54"/>
      <c r="X22" s="29"/>
      <c r="Y22" s="75"/>
      <c r="Z22" s="23"/>
    </row>
    <row r="23" spans="2:26" x14ac:dyDescent="0.25">
      <c r="B23" s="23"/>
      <c r="C23" s="71"/>
      <c r="D23" s="26"/>
      <c r="E23" s="21"/>
      <c r="F23" s="178" t="s">
        <v>147</v>
      </c>
      <c r="G23" s="62">
        <f>-'DMRW Data'!H64</f>
        <v>0</v>
      </c>
      <c r="H23" s="53"/>
      <c r="I23" s="366" t="s">
        <v>147</v>
      </c>
      <c r="J23" s="319"/>
      <c r="K23" s="62">
        <f>-'DMRW Data'!I64</f>
        <v>0</v>
      </c>
      <c r="L23" s="22"/>
      <c r="M23" s="40"/>
      <c r="N23" s="24"/>
      <c r="O23" s="26"/>
      <c r="P23" s="21"/>
      <c r="Q23" s="196" t="s">
        <v>83</v>
      </c>
      <c r="R23" s="139">
        <f>IF(T15=0,0,'DMRW Data'!D76)</f>
        <v>0</v>
      </c>
      <c r="S23" s="81"/>
      <c r="T23" s="353" t="s">
        <v>85</v>
      </c>
      <c r="U23" s="319"/>
      <c r="V23" s="139">
        <f>IF(T15=0,0,'DMRW Data'!D78)</f>
        <v>0</v>
      </c>
      <c r="W23" s="54"/>
      <c r="X23" s="29"/>
      <c r="Y23" s="75"/>
      <c r="Z23" s="23"/>
    </row>
    <row r="24" spans="2:26" x14ac:dyDescent="0.25">
      <c r="B24" s="23"/>
      <c r="C24" s="71"/>
      <c r="D24" s="26"/>
      <c r="E24" s="21"/>
      <c r="F24" s="63" t="s">
        <v>67</v>
      </c>
      <c r="G24" s="64">
        <f>'DMRW Data'!N43</f>
        <v>0</v>
      </c>
      <c r="H24" s="53"/>
      <c r="I24" s="320" t="s">
        <v>73</v>
      </c>
      <c r="J24" s="321"/>
      <c r="K24" s="64">
        <f>'DMRW Data'!O43</f>
        <v>0</v>
      </c>
      <c r="L24" s="22"/>
      <c r="M24" s="29"/>
      <c r="N24" s="24"/>
      <c r="O24" s="26"/>
      <c r="P24" s="21"/>
      <c r="Q24" s="63" t="s">
        <v>84</v>
      </c>
      <c r="R24" s="64">
        <f>IF(T17=0,0,'DMRW Data'!D159)</f>
        <v>0</v>
      </c>
      <c r="S24" s="81"/>
      <c r="T24" s="313" t="s">
        <v>86</v>
      </c>
      <c r="U24" s="314"/>
      <c r="V24" s="64">
        <f>IF(T17=0,0,'DMRW Data'!D161)</f>
        <v>0</v>
      </c>
      <c r="W24" s="54"/>
      <c r="X24" s="29"/>
      <c r="Y24" s="75"/>
      <c r="Z24" s="23"/>
    </row>
    <row r="25" spans="2:26" x14ac:dyDescent="0.25">
      <c r="B25" s="23"/>
      <c r="C25" s="71"/>
      <c r="D25" s="26"/>
      <c r="E25" s="21"/>
      <c r="F25" s="82" t="str">
        <f>IF(G25=200,"Minimum Allowable Premium","Total")</f>
        <v>Total</v>
      </c>
      <c r="G25" s="83">
        <f>IF(AND(SUM(G22:G23)&gt;0,SUM(G22:G23)&lt;200),200+G24,SUM(G22:G24))</f>
        <v>0</v>
      </c>
      <c r="H25" s="68"/>
      <c r="I25" s="322" t="str">
        <f>IF(K25=200,"Minimum Allowable Premium","Total")</f>
        <v>Total</v>
      </c>
      <c r="J25" s="323"/>
      <c r="K25" s="83">
        <f>IF(AND(SUM(K22:K23)&gt;0,SUM(K22:K23)&lt;200),200+K24,SUM(K22:K24))</f>
        <v>0</v>
      </c>
      <c r="L25" s="51"/>
      <c r="M25" s="29"/>
      <c r="N25" s="24"/>
      <c r="O25" s="26"/>
      <c r="P25" s="21"/>
      <c r="Q25" s="140" t="str">
        <f>IF(R25=200,"Minimum Allowable Premium","Total")</f>
        <v>Total</v>
      </c>
      <c r="R25" s="83">
        <f>IF(AND(SUM(R22:R23)&gt;0,SUM(R22:R23)&lt;200),200+R24,SUM(R22:R24))</f>
        <v>0</v>
      </c>
      <c r="S25" s="142"/>
      <c r="T25" s="322" t="str">
        <f>IF(V25=200,"Minimum Allowable Premium","Total")</f>
        <v>Total</v>
      </c>
      <c r="U25" s="323"/>
      <c r="V25" s="83">
        <f>IF(AND(SUM(V22:V23)&gt;0,SUM(V22:V23)&lt;200),200+V24,SUM(V22:V24))</f>
        <v>0</v>
      </c>
      <c r="W25" s="54"/>
      <c r="X25" s="29"/>
      <c r="Y25" s="75"/>
      <c r="Z25" s="23"/>
    </row>
    <row r="26" spans="2:26" ht="9.9499999999999993" customHeight="1" x14ac:dyDescent="0.25">
      <c r="B26" s="23"/>
      <c r="C26" s="71"/>
      <c r="D26" s="26"/>
      <c r="E26" s="46"/>
      <c r="F26" s="47"/>
      <c r="G26" s="48"/>
      <c r="H26" s="48"/>
      <c r="I26" s="49"/>
      <c r="J26" s="49"/>
      <c r="K26" s="48"/>
      <c r="L26" s="50"/>
      <c r="M26" s="29"/>
      <c r="N26" s="24"/>
      <c r="O26" s="26"/>
      <c r="P26" s="46"/>
      <c r="Q26" s="57"/>
      <c r="R26" s="57"/>
      <c r="S26" s="57"/>
      <c r="T26" s="57"/>
      <c r="U26" s="57"/>
      <c r="V26" s="57"/>
      <c r="W26" s="58"/>
      <c r="X26" s="29"/>
      <c r="Y26" s="75"/>
      <c r="Z26" s="23"/>
    </row>
    <row r="27" spans="2:26" ht="9.9499999999999993" customHeight="1" x14ac:dyDescent="0.25">
      <c r="B27" s="23"/>
      <c r="C27" s="71"/>
      <c r="D27" s="26"/>
      <c r="E27" s="27"/>
      <c r="F27" s="41"/>
      <c r="G27" s="42"/>
      <c r="H27" s="42"/>
      <c r="I27" s="43"/>
      <c r="J27" s="43"/>
      <c r="K27" s="42"/>
      <c r="L27" s="42"/>
      <c r="M27" s="29"/>
      <c r="N27" s="24"/>
      <c r="O27" s="26"/>
      <c r="P27" s="27"/>
      <c r="Q27" s="27"/>
      <c r="R27" s="27"/>
      <c r="S27" s="27"/>
      <c r="T27" s="27"/>
      <c r="U27" s="27"/>
      <c r="V27" s="27"/>
      <c r="W27" s="27"/>
      <c r="X27" s="29"/>
      <c r="Y27" s="75"/>
      <c r="Z27" s="23"/>
    </row>
    <row r="28" spans="2:26" x14ac:dyDescent="0.25">
      <c r="B28" s="23"/>
      <c r="C28" s="71"/>
      <c r="D28" s="26"/>
      <c r="E28" s="294" t="s">
        <v>91</v>
      </c>
      <c r="F28" s="295"/>
      <c r="G28" s="295"/>
      <c r="H28" s="295"/>
      <c r="I28" s="295"/>
      <c r="J28" s="295"/>
      <c r="K28" s="295"/>
      <c r="L28" s="296"/>
      <c r="M28" s="29"/>
      <c r="N28" s="24"/>
      <c r="O28" s="26"/>
      <c r="P28" s="294" t="s">
        <v>91</v>
      </c>
      <c r="Q28" s="295"/>
      <c r="R28" s="295"/>
      <c r="S28" s="295"/>
      <c r="T28" s="295"/>
      <c r="U28" s="295"/>
      <c r="V28" s="295"/>
      <c r="W28" s="296"/>
      <c r="X28" s="29"/>
      <c r="Y28" s="75"/>
      <c r="Z28" s="23"/>
    </row>
    <row r="29" spans="2:26" ht="9.9499999999999993" customHeight="1" thickBot="1" x14ac:dyDescent="0.3">
      <c r="B29" s="23"/>
      <c r="C29" s="71"/>
      <c r="D29" s="26"/>
      <c r="E29" s="21"/>
      <c r="F29" s="52"/>
      <c r="G29" s="53"/>
      <c r="H29" s="53"/>
      <c r="I29" s="52"/>
      <c r="J29" s="52"/>
      <c r="K29" s="52"/>
      <c r="L29" s="54"/>
      <c r="M29" s="39"/>
      <c r="N29" s="24"/>
      <c r="O29" s="26"/>
      <c r="P29" s="21"/>
      <c r="Q29" s="52"/>
      <c r="R29" s="52"/>
      <c r="S29" s="52"/>
      <c r="T29" s="52"/>
      <c r="U29" s="52"/>
      <c r="V29" s="52"/>
      <c r="W29" s="54"/>
      <c r="X29" s="29"/>
      <c r="Y29" s="75"/>
      <c r="Z29" s="23"/>
    </row>
    <row r="30" spans="2:26" ht="16.5" thickBot="1" x14ac:dyDescent="0.3">
      <c r="B30" s="23"/>
      <c r="C30" s="71"/>
      <c r="D30" s="26"/>
      <c r="E30" s="21"/>
      <c r="F30" s="317" t="s">
        <v>78</v>
      </c>
      <c r="G30" s="317"/>
      <c r="H30" s="55"/>
      <c r="I30" s="96">
        <v>0</v>
      </c>
      <c r="J30" s="52"/>
      <c r="K30" s="52"/>
      <c r="L30" s="54"/>
      <c r="M30" s="39"/>
      <c r="N30" s="24"/>
      <c r="O30" s="26"/>
      <c r="P30" s="21"/>
      <c r="Q30" s="317" t="s">
        <v>78</v>
      </c>
      <c r="R30" s="317"/>
      <c r="S30" s="52"/>
      <c r="T30" s="96">
        <v>0</v>
      </c>
      <c r="U30" s="52"/>
      <c r="V30" s="52"/>
      <c r="W30" s="54"/>
      <c r="X30" s="29"/>
      <c r="Y30" s="75"/>
      <c r="Z30" s="23"/>
    </row>
    <row r="31" spans="2:26" ht="9.9499999999999993" customHeight="1" x14ac:dyDescent="0.25">
      <c r="B31" s="23"/>
      <c r="C31" s="71"/>
      <c r="D31" s="26"/>
      <c r="E31" s="21"/>
      <c r="F31" s="208"/>
      <c r="G31" s="208"/>
      <c r="H31" s="55"/>
      <c r="I31" s="55"/>
      <c r="J31" s="52"/>
      <c r="K31" s="52"/>
      <c r="L31" s="54"/>
      <c r="M31" s="39"/>
      <c r="N31" s="24"/>
      <c r="O31" s="26"/>
      <c r="P31" s="21"/>
      <c r="Q31" s="52"/>
      <c r="R31" s="52"/>
      <c r="S31" s="52"/>
      <c r="T31" s="52"/>
      <c r="U31" s="52"/>
      <c r="V31" s="52"/>
      <c r="W31" s="54"/>
      <c r="X31" s="29"/>
      <c r="Y31" s="75"/>
      <c r="Z31" s="23"/>
    </row>
    <row r="32" spans="2:26" x14ac:dyDescent="0.25">
      <c r="B32" s="23"/>
      <c r="C32" s="71"/>
      <c r="D32" s="26"/>
      <c r="E32" s="21"/>
      <c r="F32" s="349" t="s">
        <v>90</v>
      </c>
      <c r="G32" s="350"/>
      <c r="H32" s="55"/>
      <c r="I32" s="355" t="s">
        <v>87</v>
      </c>
      <c r="J32" s="356"/>
      <c r="K32" s="357"/>
      <c r="L32" s="54"/>
      <c r="M32" s="39"/>
      <c r="N32" s="24"/>
      <c r="O32" s="26"/>
      <c r="P32" s="21"/>
      <c r="Q32" s="349" t="s">
        <v>90</v>
      </c>
      <c r="R32" s="350"/>
      <c r="S32" s="5"/>
      <c r="T32" s="355" t="s">
        <v>87</v>
      </c>
      <c r="U32" s="356"/>
      <c r="V32" s="357"/>
      <c r="W32" s="54"/>
      <c r="X32" s="29"/>
      <c r="Y32" s="75"/>
      <c r="Z32" s="23"/>
    </row>
    <row r="33" spans="2:26" x14ac:dyDescent="0.25">
      <c r="B33" s="23"/>
      <c r="C33" s="71"/>
      <c r="D33" s="26"/>
      <c r="E33" s="21"/>
      <c r="F33" s="65" t="s">
        <v>79</v>
      </c>
      <c r="G33" s="247">
        <f>IF(I30&gt;0,(G25-G34),0)</f>
        <v>0</v>
      </c>
      <c r="H33" s="53"/>
      <c r="I33" s="308" t="s">
        <v>79</v>
      </c>
      <c r="J33" s="309"/>
      <c r="K33" s="247">
        <f>IF(I30&gt;0,K25-K34,0)</f>
        <v>0</v>
      </c>
      <c r="L33" s="22"/>
      <c r="M33" s="29"/>
      <c r="N33" s="24"/>
      <c r="O33" s="26"/>
      <c r="P33" s="21"/>
      <c r="Q33" s="65" t="s">
        <v>79</v>
      </c>
      <c r="R33" s="247">
        <f>IF(T30&gt;0,R25-R34,0)</f>
        <v>0</v>
      </c>
      <c r="S33" s="5"/>
      <c r="T33" s="308" t="s">
        <v>79</v>
      </c>
      <c r="U33" s="309"/>
      <c r="V33" s="247">
        <f>IF(T30&gt;0,V25-V34,0)</f>
        <v>0</v>
      </c>
      <c r="W33" s="54"/>
      <c r="X33" s="29"/>
      <c r="Y33" s="75"/>
      <c r="Z33" s="23"/>
    </row>
    <row r="34" spans="2:26" x14ac:dyDescent="0.25">
      <c r="B34" s="23"/>
      <c r="C34" s="71"/>
      <c r="D34" s="26"/>
      <c r="E34" s="21"/>
      <c r="F34" s="67" t="s">
        <v>80</v>
      </c>
      <c r="G34" s="248">
        <f>IF(I30&gt;0,((100%-I30)*'DMRW Remit Calcs'!E10),0)</f>
        <v>0</v>
      </c>
      <c r="H34" s="53"/>
      <c r="I34" s="310" t="s">
        <v>80</v>
      </c>
      <c r="J34" s="311"/>
      <c r="K34" s="248">
        <f>IF(I30&gt;0,(100%-I30)*'DMRW Remit Calcs'!I10,0)</f>
        <v>0</v>
      </c>
      <c r="L34" s="22"/>
      <c r="M34" s="29"/>
      <c r="N34" s="24"/>
      <c r="O34" s="26"/>
      <c r="P34" s="21"/>
      <c r="Q34" s="67" t="s">
        <v>80</v>
      </c>
      <c r="R34" s="248">
        <f>IF(T30&gt;0,(100%-T30)*'DMRW Remit Calcs'!E77,0)</f>
        <v>0</v>
      </c>
      <c r="S34" s="5"/>
      <c r="T34" s="310" t="s">
        <v>80</v>
      </c>
      <c r="U34" s="311"/>
      <c r="V34" s="248">
        <f>IF(T30&gt;0,(100%-T30)*'DMRW Remit Calcs'!I77,0)</f>
        <v>0</v>
      </c>
      <c r="W34" s="54"/>
      <c r="X34" s="29"/>
      <c r="Y34" s="75"/>
      <c r="Z34" s="23"/>
    </row>
    <row r="35" spans="2:26" x14ac:dyDescent="0.25">
      <c r="B35" s="23"/>
      <c r="C35" s="71"/>
      <c r="D35" s="26"/>
      <c r="E35" s="46"/>
      <c r="F35" s="249"/>
      <c r="G35" s="250"/>
      <c r="H35" s="251"/>
      <c r="I35" s="252"/>
      <c r="J35" s="252"/>
      <c r="K35" s="250"/>
      <c r="L35" s="246"/>
      <c r="M35" s="29"/>
      <c r="N35" s="24"/>
      <c r="O35" s="26"/>
      <c r="P35" s="46"/>
      <c r="Q35" s="256"/>
      <c r="R35" s="257"/>
      <c r="S35" s="258"/>
      <c r="T35" s="259"/>
      <c r="U35" s="259"/>
      <c r="V35" s="257"/>
      <c r="W35" s="58"/>
      <c r="X35" s="29"/>
      <c r="Y35" s="75"/>
      <c r="Z35" s="23"/>
    </row>
    <row r="36" spans="2:26" x14ac:dyDescent="0.25">
      <c r="B36" s="23"/>
      <c r="C36" s="71"/>
      <c r="D36" s="26"/>
      <c r="E36" s="52"/>
      <c r="F36" s="243"/>
      <c r="G36" s="244"/>
      <c r="H36" s="242"/>
      <c r="I36" s="245"/>
      <c r="J36" s="245"/>
      <c r="K36" s="244"/>
      <c r="L36" s="53"/>
      <c r="M36" s="29"/>
      <c r="N36" s="24"/>
      <c r="O36" s="26"/>
      <c r="P36" s="27"/>
      <c r="Q36" s="265"/>
      <c r="R36" s="266"/>
      <c r="S36" s="27"/>
      <c r="T36" s="267"/>
      <c r="U36" s="267"/>
      <c r="V36" s="266"/>
      <c r="W36" s="27"/>
      <c r="X36" s="29"/>
      <c r="Y36" s="75"/>
      <c r="Z36" s="23"/>
    </row>
    <row r="37" spans="2:26" x14ac:dyDescent="0.25">
      <c r="B37" s="23"/>
      <c r="C37" s="71"/>
      <c r="D37" s="26"/>
      <c r="E37" s="294" t="s">
        <v>162</v>
      </c>
      <c r="F37" s="295"/>
      <c r="G37" s="295"/>
      <c r="H37" s="295"/>
      <c r="I37" s="295"/>
      <c r="J37" s="295"/>
      <c r="K37" s="295"/>
      <c r="L37" s="296"/>
      <c r="M37" s="29"/>
      <c r="N37" s="24"/>
      <c r="O37" s="26"/>
      <c r="P37" s="27"/>
      <c r="Q37" s="265"/>
      <c r="R37" s="266"/>
      <c r="S37" s="27"/>
      <c r="T37" s="267"/>
      <c r="U37" s="267"/>
      <c r="V37" s="266"/>
      <c r="W37" s="27"/>
      <c r="X37" s="29"/>
      <c r="Y37" s="75"/>
      <c r="Z37" s="23"/>
    </row>
    <row r="38" spans="2:26" ht="9.75" customHeight="1" x14ac:dyDescent="0.25">
      <c r="B38" s="23"/>
      <c r="C38" s="71"/>
      <c r="D38" s="26"/>
      <c r="E38" s="222"/>
      <c r="F38" s="221"/>
      <c r="G38" s="221"/>
      <c r="H38" s="221"/>
      <c r="I38" s="221"/>
      <c r="J38" s="221"/>
      <c r="K38" s="221"/>
      <c r="L38" s="223"/>
      <c r="M38" s="29"/>
      <c r="N38" s="24"/>
      <c r="O38" s="26"/>
      <c r="P38" s="27"/>
      <c r="Q38" s="265"/>
      <c r="R38" s="266"/>
      <c r="S38" s="27"/>
      <c r="T38" s="267"/>
      <c r="U38" s="267"/>
      <c r="V38" s="266"/>
      <c r="W38" s="27"/>
      <c r="X38" s="29"/>
      <c r="Y38" s="75"/>
      <c r="Z38" s="23"/>
    </row>
    <row r="39" spans="2:26" x14ac:dyDescent="0.25">
      <c r="B39" s="23"/>
      <c r="C39" s="71"/>
      <c r="D39" s="26"/>
      <c r="E39" s="218"/>
      <c r="F39" s="227"/>
      <c r="G39" s="228"/>
      <c r="H39" s="229"/>
      <c r="I39" s="210" t="s">
        <v>90</v>
      </c>
      <c r="J39" s="264" t="s">
        <v>87</v>
      </c>
      <c r="K39" s="228"/>
      <c r="L39" s="219"/>
      <c r="M39" s="29"/>
      <c r="N39" s="24"/>
      <c r="O39" s="26"/>
      <c r="P39" s="27"/>
      <c r="Q39" s="265"/>
      <c r="R39" s="266"/>
      <c r="S39" s="27"/>
      <c r="T39" s="267"/>
      <c r="U39" s="267"/>
      <c r="V39" s="266"/>
      <c r="W39" s="27"/>
      <c r="X39" s="29"/>
      <c r="Y39" s="75"/>
      <c r="Z39" s="23"/>
    </row>
    <row r="40" spans="2:26" x14ac:dyDescent="0.25">
      <c r="B40" s="23"/>
      <c r="C40" s="71"/>
      <c r="D40" s="26"/>
      <c r="E40" s="21"/>
      <c r="F40" s="297" t="s">
        <v>163</v>
      </c>
      <c r="G40" s="298"/>
      <c r="H40" s="68"/>
      <c r="I40" s="232">
        <f>IF(I17=0,0,G25-I42)</f>
        <v>0</v>
      </c>
      <c r="J40" s="234">
        <f>IF(I17=0,0,K25-J42)</f>
        <v>0</v>
      </c>
      <c r="K40" s="236"/>
      <c r="L40" s="51"/>
      <c r="M40" s="29"/>
      <c r="N40" s="24"/>
      <c r="O40" s="26"/>
      <c r="P40" s="27"/>
      <c r="Q40" s="265"/>
      <c r="R40" s="266"/>
      <c r="S40" s="27"/>
      <c r="T40" s="267"/>
      <c r="U40" s="267"/>
      <c r="V40" s="266"/>
      <c r="W40" s="27"/>
      <c r="X40" s="29"/>
      <c r="Y40" s="75"/>
      <c r="Z40" s="23"/>
    </row>
    <row r="41" spans="2:26" x14ac:dyDescent="0.25">
      <c r="B41" s="23"/>
      <c r="C41" s="71"/>
      <c r="D41" s="26"/>
      <c r="E41" s="225"/>
      <c r="F41" s="299" t="s">
        <v>164</v>
      </c>
      <c r="G41" s="300"/>
      <c r="H41" s="220"/>
      <c r="I41" s="233">
        <f>IF(I17=0,0,G22+G23-I40)</f>
        <v>0</v>
      </c>
      <c r="J41" s="235">
        <f>IF(I17=0,0,K22+K23-J40)</f>
        <v>0</v>
      </c>
      <c r="K41" s="237"/>
      <c r="L41" s="226"/>
      <c r="M41" s="29"/>
      <c r="N41" s="24"/>
      <c r="O41" s="26"/>
      <c r="P41" s="27"/>
      <c r="Q41" s="265"/>
      <c r="R41" s="266"/>
      <c r="S41" s="27"/>
      <c r="T41" s="267"/>
      <c r="U41" s="267"/>
      <c r="V41" s="266"/>
      <c r="W41" s="27"/>
      <c r="X41" s="29"/>
      <c r="Y41" s="75"/>
      <c r="Z41" s="23"/>
    </row>
    <row r="42" spans="2:26" x14ac:dyDescent="0.25">
      <c r="B42" s="23"/>
      <c r="C42" s="71"/>
      <c r="D42" s="26"/>
      <c r="E42" s="21"/>
      <c r="F42" s="301" t="s">
        <v>165</v>
      </c>
      <c r="G42" s="302"/>
      <c r="H42" s="48"/>
      <c r="I42" s="231">
        <f>IF(I17=0,0,'DMRW Data'!D116)</f>
        <v>0</v>
      </c>
      <c r="J42" s="231">
        <f>IF(I17=0,0,'DMRW Data'!D118)</f>
        <v>0</v>
      </c>
      <c r="K42" s="238"/>
      <c r="L42" s="51"/>
      <c r="M42" s="29"/>
      <c r="N42" s="24"/>
      <c r="O42" s="26"/>
      <c r="P42" s="27"/>
      <c r="Q42" s="265"/>
      <c r="R42" s="266"/>
      <c r="S42" s="27"/>
      <c r="T42" s="267"/>
      <c r="U42" s="267"/>
      <c r="V42" s="266"/>
      <c r="W42" s="27"/>
      <c r="X42" s="29"/>
      <c r="Y42" s="75"/>
      <c r="Z42" s="23"/>
    </row>
    <row r="43" spans="2:26" x14ac:dyDescent="0.25">
      <c r="B43" s="23"/>
      <c r="C43" s="71"/>
      <c r="D43" s="26"/>
      <c r="E43" s="46"/>
      <c r="F43" s="224"/>
      <c r="G43" s="224"/>
      <c r="H43" s="48"/>
      <c r="I43" s="231"/>
      <c r="J43" s="231"/>
      <c r="K43" s="230"/>
      <c r="L43" s="50"/>
      <c r="M43" s="29"/>
      <c r="N43" s="24"/>
      <c r="O43" s="26"/>
      <c r="P43" s="27"/>
      <c r="Q43" s="265"/>
      <c r="R43" s="266"/>
      <c r="S43" s="27"/>
      <c r="T43" s="267"/>
      <c r="U43" s="267"/>
      <c r="V43" s="266"/>
      <c r="W43" s="27"/>
      <c r="X43" s="29"/>
      <c r="Y43" s="75"/>
      <c r="Z43" s="23"/>
    </row>
    <row r="44" spans="2:26" ht="9.9499999999999993" customHeight="1" x14ac:dyDescent="0.25">
      <c r="B44" s="23"/>
      <c r="C44" s="71"/>
      <c r="D44" s="35"/>
      <c r="E44" s="36"/>
      <c r="F44" s="36"/>
      <c r="G44" s="37"/>
      <c r="H44" s="37"/>
      <c r="I44" s="36"/>
      <c r="J44" s="36"/>
      <c r="K44" s="36"/>
      <c r="L44" s="36"/>
      <c r="M44" s="38"/>
      <c r="N44" s="24"/>
      <c r="O44" s="35"/>
      <c r="P44" s="36"/>
      <c r="Q44" s="36"/>
      <c r="R44" s="36"/>
      <c r="S44" s="36"/>
      <c r="T44" s="36"/>
      <c r="U44" s="36"/>
      <c r="V44" s="36"/>
      <c r="W44" s="36"/>
      <c r="X44" s="38"/>
      <c r="Y44" s="75"/>
      <c r="Z44" s="23"/>
    </row>
    <row r="45" spans="2:26" ht="6.95" customHeight="1" x14ac:dyDescent="0.25">
      <c r="B45" s="23"/>
      <c r="C45" s="72"/>
      <c r="D45" s="73"/>
      <c r="E45" s="73"/>
      <c r="F45" s="73"/>
      <c r="G45" s="74"/>
      <c r="H45" s="74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6"/>
      <c r="Z45" s="23"/>
    </row>
    <row r="46" spans="2:26" ht="6.95" customHeight="1" x14ac:dyDescent="0.25">
      <c r="B46" s="23"/>
      <c r="C46" s="23"/>
      <c r="D46" s="23"/>
      <c r="E46" s="23"/>
      <c r="F46" s="52"/>
      <c r="G46" s="53"/>
      <c r="H46" s="53"/>
      <c r="I46" s="52"/>
      <c r="J46" s="52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2:26" s="98" customFormat="1" ht="24" customHeight="1" x14ac:dyDescent="0.3">
      <c r="C47" s="304" t="s">
        <v>144</v>
      </c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135"/>
      <c r="O47" s="135"/>
      <c r="P47" s="135"/>
      <c r="Q47" s="303" t="s">
        <v>149</v>
      </c>
      <c r="R47" s="303"/>
      <c r="S47" s="303"/>
      <c r="T47" s="303"/>
      <c r="U47" s="303"/>
      <c r="V47" s="303"/>
      <c r="W47" s="303"/>
      <c r="X47" s="303"/>
      <c r="Y47" s="135"/>
      <c r="Z47" s="135"/>
    </row>
  </sheetData>
  <sheetProtection algorithmName="SHA-512" hashValue="OFCzlJgGKy5DwS64PpvzXEM6eAWYaHxxzwWGN2XqcrGdCnEJQcldiBFr+zKA/AVFjs8qysuhlAV3T4L132zJGg==" saltValue="ulLreoq2yW8YhsvolFw0/g==" spinCount="100000" sheet="1" objects="1" scenarios="1" selectLockedCells="1"/>
  <mergeCells count="44">
    <mergeCell ref="I33:J33"/>
    <mergeCell ref="T33:U33"/>
    <mergeCell ref="I34:J34"/>
    <mergeCell ref="T34:U34"/>
    <mergeCell ref="Q47:X47"/>
    <mergeCell ref="C47:M47"/>
    <mergeCell ref="E37:L37"/>
    <mergeCell ref="F40:G40"/>
    <mergeCell ref="F41:G41"/>
    <mergeCell ref="F42:G42"/>
    <mergeCell ref="E28:L28"/>
    <mergeCell ref="P28:W28"/>
    <mergeCell ref="F30:G30"/>
    <mergeCell ref="Q30:R30"/>
    <mergeCell ref="F32:G32"/>
    <mergeCell ref="I32:K32"/>
    <mergeCell ref="Q32:R32"/>
    <mergeCell ref="T32:V32"/>
    <mergeCell ref="C5:Y5"/>
    <mergeCell ref="I22:J22"/>
    <mergeCell ref="T22:U22"/>
    <mergeCell ref="I23:J23"/>
    <mergeCell ref="T24:U24"/>
    <mergeCell ref="F21:G21"/>
    <mergeCell ref="I21:K21"/>
    <mergeCell ref="Q21:R21"/>
    <mergeCell ref="T21:V21"/>
    <mergeCell ref="C6:Y6"/>
    <mergeCell ref="C7:Y7"/>
    <mergeCell ref="C8:Y8"/>
    <mergeCell ref="D11:M11"/>
    <mergeCell ref="O11:X11"/>
    <mergeCell ref="D13:G13"/>
    <mergeCell ref="Q14:R14"/>
    <mergeCell ref="T23:U23"/>
    <mergeCell ref="I25:J25"/>
    <mergeCell ref="I24:J24"/>
    <mergeCell ref="T25:U25"/>
    <mergeCell ref="D15:G15"/>
    <mergeCell ref="Q17:R17"/>
    <mergeCell ref="D17:G17"/>
    <mergeCell ref="E19:L19"/>
    <mergeCell ref="P19:W19"/>
    <mergeCell ref="Q15:R15"/>
  </mergeCells>
  <phoneticPr fontId="19" type="noConversion"/>
  <hyperlinks>
    <hyperlink ref="F2" location="Menu!A1" display="Return To Main Menu"/>
    <hyperlink ref="C47" r:id="rId1"/>
    <hyperlink ref="D47" r:id="rId2" display="http://ratecalculator.fnf.com/"/>
    <hyperlink ref="E47" r:id="rId3" display="http://ratecalculator.fnf.com/"/>
    <hyperlink ref="F47" r:id="rId4" display="http://ratecalculator.fnf.com/"/>
    <hyperlink ref="G47" r:id="rId5" display="http://ratecalculator.fnf.com/"/>
    <hyperlink ref="H47" r:id="rId6" display="http://ratecalculator.fnf.com/"/>
    <hyperlink ref="I47" r:id="rId7" display="http://ratecalculator.fnf.com/"/>
    <hyperlink ref="J47" r:id="rId8" display="http://ratecalculator.fnf.com/"/>
    <hyperlink ref="K47" r:id="rId9" display="http://ratecalculator.fnf.com/"/>
    <hyperlink ref="L47" r:id="rId10" display="http://ratecalculator.fnf.com/"/>
    <hyperlink ref="M47" r:id="rId11" display="http://ratecalculator.fnf.com/"/>
  </hyperlinks>
  <printOptions horizontalCentered="1" verticalCentered="1"/>
  <pageMargins left="0.1" right="0.1" top="0.1" bottom="0.1" header="0" footer="0"/>
  <pageSetup scale="61" orientation="landscape" horizontalDpi="4294967292" verticalDpi="4294967292" r:id="rId12"/>
  <drawing r:id="rId13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158"/>
  <sheetViews>
    <sheetView topLeftCell="A62" zoomScale="85" zoomScaleNormal="85" zoomScalePageLayoutView="85" workbookViewId="0">
      <selection activeCell="D90" sqref="D90"/>
    </sheetView>
  </sheetViews>
  <sheetFormatPr defaultColWidth="0" defaultRowHeight="15.75" x14ac:dyDescent="0.25"/>
  <cols>
    <col min="1" max="1" width="1.125" style="23" customWidth="1"/>
    <col min="2" max="2" width="1.125" customWidth="1"/>
    <col min="3" max="3" width="10.875" customWidth="1"/>
    <col min="4" max="4" width="33.375" customWidth="1"/>
    <col min="5" max="5" width="20.875" bestFit="1" customWidth="1"/>
    <col min="6" max="7" width="10.875" customWidth="1"/>
    <col min="8" max="8" width="27.5" customWidth="1"/>
    <col min="9" max="9" width="25.125" bestFit="1" customWidth="1"/>
    <col min="10" max="10" width="15.875" bestFit="1" customWidth="1"/>
    <col min="11" max="14" width="10.875" customWidth="1"/>
    <col min="15" max="15" width="25.125" bestFit="1" customWidth="1"/>
    <col min="16" max="16" width="10.875" customWidth="1"/>
    <col min="17" max="17" width="1.125" customWidth="1"/>
    <col min="18" max="18" width="1.125" style="23" customWidth="1"/>
    <col min="19" max="16384" width="10.875" hidden="1"/>
  </cols>
  <sheetData>
    <row r="1" spans="2:18" s="23" customFormat="1" ht="6.95" customHeight="1" x14ac:dyDescent="0.25"/>
    <row r="2" spans="2:18" x14ac:dyDescent="0.25">
      <c r="B2" s="360" t="s">
        <v>137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  <c r="R2" s="159"/>
    </row>
    <row r="3" spans="2:18" x14ac:dyDescent="0.25">
      <c r="B3" s="363" t="s">
        <v>129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5"/>
      <c r="R3" s="160"/>
    </row>
    <row r="4" spans="2:18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2:18" x14ac:dyDescent="0.25">
      <c r="B5" s="4"/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6"/>
    </row>
    <row r="6" spans="2:18" x14ac:dyDescent="0.25">
      <c r="B6" s="4"/>
      <c r="C6" s="4"/>
      <c r="D6" s="371" t="s">
        <v>90</v>
      </c>
      <c r="E6" s="372"/>
      <c r="F6" s="5"/>
      <c r="G6" s="371" t="s">
        <v>87</v>
      </c>
      <c r="H6" s="373"/>
      <c r="I6" s="372"/>
      <c r="J6" s="5"/>
      <c r="K6" s="5"/>
      <c r="L6" s="5"/>
      <c r="M6" s="5"/>
      <c r="N6" s="5"/>
      <c r="O6" s="5"/>
      <c r="P6" s="6"/>
      <c r="Q6" s="6"/>
    </row>
    <row r="7" spans="2:18" x14ac:dyDescent="0.25">
      <c r="B7" s="4"/>
      <c r="C7" s="4"/>
      <c r="D7" s="4" t="s">
        <v>58</v>
      </c>
      <c r="E7" s="155">
        <f>D23</f>
        <v>0</v>
      </c>
      <c r="F7" s="5"/>
      <c r="G7" s="369" t="s">
        <v>59</v>
      </c>
      <c r="H7" s="370"/>
      <c r="I7" s="6">
        <f>D25</f>
        <v>0</v>
      </c>
      <c r="J7" s="5"/>
      <c r="K7" s="5"/>
      <c r="L7" s="5"/>
      <c r="M7" s="5"/>
      <c r="N7" s="5"/>
      <c r="O7" s="5"/>
      <c r="P7" s="6"/>
      <c r="Q7" s="6"/>
    </row>
    <row r="8" spans="2:18" x14ac:dyDescent="0.25">
      <c r="B8" s="4"/>
      <c r="C8" s="4"/>
      <c r="D8" s="4" t="s">
        <v>74</v>
      </c>
      <c r="E8" s="155">
        <f>-J68</f>
        <v>0</v>
      </c>
      <c r="F8" s="5"/>
      <c r="G8" s="369" t="s">
        <v>74</v>
      </c>
      <c r="H8" s="370"/>
      <c r="I8" s="6">
        <f>-K68</f>
        <v>0</v>
      </c>
      <c r="J8" s="5"/>
      <c r="K8" s="5"/>
      <c r="L8" s="5"/>
      <c r="M8" s="5"/>
      <c r="N8" s="5"/>
      <c r="O8" s="5"/>
      <c r="P8" s="6"/>
      <c r="Q8" s="6"/>
    </row>
    <row r="9" spans="2:18" x14ac:dyDescent="0.25">
      <c r="B9" s="4"/>
      <c r="C9" s="4"/>
      <c r="D9" s="4" t="s">
        <v>67</v>
      </c>
      <c r="E9" s="155">
        <f>N49</f>
        <v>0</v>
      </c>
      <c r="F9" s="5"/>
      <c r="G9" s="374" t="s">
        <v>73</v>
      </c>
      <c r="H9" s="375"/>
      <c r="I9" s="6">
        <f>O49</f>
        <v>0</v>
      </c>
      <c r="J9" s="5"/>
      <c r="K9" s="5"/>
      <c r="L9" s="5"/>
      <c r="M9" s="5"/>
      <c r="N9" s="5"/>
      <c r="O9" s="5"/>
      <c r="P9" s="6"/>
      <c r="Q9" s="6"/>
    </row>
    <row r="10" spans="2:18" x14ac:dyDescent="0.25">
      <c r="B10" s="4"/>
      <c r="C10" s="4"/>
      <c r="D10" s="156" t="s">
        <v>77</v>
      </c>
      <c r="E10" s="157">
        <f>IF(SUM(E7:E8)&lt;150,150+E9,SUM(E7:E9))</f>
        <v>150</v>
      </c>
      <c r="F10" s="5"/>
      <c r="G10" s="367" t="s">
        <v>77</v>
      </c>
      <c r="H10" s="368"/>
      <c r="I10" s="12">
        <f>IF(SUM(I7:I8)&lt;150,150+I9,SUM(I7:I9))</f>
        <v>150</v>
      </c>
      <c r="J10" s="5"/>
      <c r="K10" s="5"/>
      <c r="L10" s="5"/>
      <c r="M10" s="5"/>
      <c r="N10" s="5"/>
      <c r="O10" s="5"/>
      <c r="P10" s="6"/>
      <c r="Q10" s="6"/>
    </row>
    <row r="11" spans="2:18" x14ac:dyDescent="0.25"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6"/>
    </row>
    <row r="12" spans="2:18" x14ac:dyDescent="0.2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Q12" s="6"/>
    </row>
    <row r="13" spans="2:18" x14ac:dyDescent="0.25"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  <c r="Q13" s="6"/>
    </row>
    <row r="14" spans="2:18" x14ac:dyDescent="0.25"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  <c r="Q14" s="6"/>
    </row>
    <row r="15" spans="2:18" x14ac:dyDescent="0.25">
      <c r="B15" s="4"/>
      <c r="C15" s="4"/>
      <c r="D15" s="1" t="s">
        <v>60</v>
      </c>
      <c r="E15" s="2"/>
      <c r="F15" s="2"/>
      <c r="G15" s="2"/>
      <c r="H15" s="2"/>
      <c r="I15" s="2"/>
      <c r="J15" s="3"/>
      <c r="K15" s="5"/>
      <c r="L15" s="5"/>
      <c r="M15" s="5"/>
      <c r="N15" s="5"/>
      <c r="O15" s="5"/>
      <c r="P15" s="6"/>
      <c r="Q15" s="6"/>
    </row>
    <row r="16" spans="2:18" x14ac:dyDescent="0.25">
      <c r="B16" s="4"/>
      <c r="C16" s="4"/>
      <c r="D16" s="4"/>
      <c r="E16" s="5"/>
      <c r="F16" s="5" t="s">
        <v>62</v>
      </c>
      <c r="G16" s="5" t="s">
        <v>63</v>
      </c>
      <c r="H16" s="5"/>
      <c r="I16" s="5"/>
      <c r="J16" s="6"/>
      <c r="K16" s="5"/>
      <c r="L16" s="5"/>
      <c r="M16" s="5"/>
      <c r="N16" s="5"/>
      <c r="O16" s="5"/>
      <c r="P16" s="6"/>
      <c r="Q16" s="6"/>
    </row>
    <row r="17" spans="2:17" x14ac:dyDescent="0.25">
      <c r="B17" s="4"/>
      <c r="C17" s="4"/>
      <c r="D17" s="4" t="s">
        <v>0</v>
      </c>
      <c r="E17" s="5"/>
      <c r="F17" s="5">
        <v>0</v>
      </c>
      <c r="G17" s="5">
        <v>49</v>
      </c>
      <c r="H17" s="5" t="s">
        <v>1</v>
      </c>
      <c r="I17" s="5" t="s">
        <v>32</v>
      </c>
      <c r="J17" s="6" t="s">
        <v>3</v>
      </c>
      <c r="K17" s="5"/>
      <c r="L17" s="5"/>
      <c r="M17" s="5"/>
      <c r="N17" s="5"/>
      <c r="O17" s="5"/>
      <c r="P17" s="6"/>
      <c r="Q17" s="6"/>
    </row>
    <row r="18" spans="2:17" x14ac:dyDescent="0.25">
      <c r="B18" s="4"/>
      <c r="C18" s="4"/>
      <c r="D18" s="93">
        <f>'D, M, R &amp; W Rates'!I13</f>
        <v>0</v>
      </c>
      <c r="E18" s="5"/>
      <c r="F18" s="5"/>
      <c r="G18" s="5"/>
      <c r="H18" s="8">
        <f>ROUNDUP((D18/1000),0)</f>
        <v>0</v>
      </c>
      <c r="I18" s="8">
        <f>IF(H18&lt;50,H18,50)</f>
        <v>0</v>
      </c>
      <c r="J18" s="6">
        <f>IF(H18&gt;35,I18*'National Rate Table'!E6,IF(H18&gt;0,150,0))</f>
        <v>0</v>
      </c>
      <c r="K18" s="5"/>
      <c r="L18" s="5"/>
      <c r="M18" s="5"/>
      <c r="N18" s="5"/>
      <c r="O18" s="5"/>
      <c r="P18" s="6"/>
      <c r="Q18" s="6"/>
    </row>
    <row r="19" spans="2:17" x14ac:dyDescent="0.25">
      <c r="B19" s="4"/>
      <c r="C19" s="4"/>
      <c r="D19" s="4"/>
      <c r="E19" s="5" t="s">
        <v>23</v>
      </c>
      <c r="F19" s="5">
        <v>50</v>
      </c>
      <c r="G19" s="5">
        <v>100</v>
      </c>
      <c r="H19" s="5" t="s">
        <v>2</v>
      </c>
      <c r="I19" s="5" t="s">
        <v>7</v>
      </c>
      <c r="J19" s="6" t="s">
        <v>8</v>
      </c>
      <c r="K19" s="5"/>
      <c r="L19" s="5"/>
      <c r="M19" s="5"/>
      <c r="N19" s="5"/>
      <c r="O19" s="5"/>
      <c r="P19" s="6"/>
      <c r="Q19" s="6"/>
    </row>
    <row r="20" spans="2:17" x14ac:dyDescent="0.25">
      <c r="B20" s="4"/>
      <c r="C20" s="4"/>
      <c r="D20" s="4"/>
      <c r="E20" s="5"/>
      <c r="F20" s="5"/>
      <c r="G20" s="5"/>
      <c r="H20" s="8">
        <f>H18-50</f>
        <v>-50</v>
      </c>
      <c r="I20" s="8">
        <f>IF(H20&gt;50,50,H20)</f>
        <v>-50</v>
      </c>
      <c r="J20" s="6">
        <f>IF(I20&gt;0,I20*'National Rate Table'!E7,0)</f>
        <v>0</v>
      </c>
      <c r="K20" s="5"/>
      <c r="L20" s="5"/>
      <c r="M20" s="5"/>
      <c r="N20" s="5"/>
      <c r="O20" s="5"/>
      <c r="P20" s="6"/>
      <c r="Q20" s="6"/>
    </row>
    <row r="21" spans="2:17" x14ac:dyDescent="0.25">
      <c r="B21" s="4"/>
      <c r="C21" s="4"/>
      <c r="D21" s="4"/>
      <c r="E21" s="5" t="s">
        <v>24</v>
      </c>
      <c r="F21" s="5">
        <v>101</v>
      </c>
      <c r="G21" s="5">
        <v>1000</v>
      </c>
      <c r="H21" s="5" t="s">
        <v>9</v>
      </c>
      <c r="I21" s="5" t="s">
        <v>7</v>
      </c>
      <c r="J21" s="6" t="s">
        <v>10</v>
      </c>
      <c r="K21" s="5"/>
      <c r="L21" s="5"/>
      <c r="M21" s="5"/>
      <c r="N21" s="5"/>
      <c r="O21" s="5"/>
      <c r="P21" s="6"/>
      <c r="Q21" s="6"/>
    </row>
    <row r="22" spans="2:17" x14ac:dyDescent="0.25">
      <c r="B22" s="4"/>
      <c r="C22" s="4"/>
      <c r="D22" s="4" t="s">
        <v>53</v>
      </c>
      <c r="E22" s="5"/>
      <c r="F22" s="5"/>
      <c r="G22" s="5"/>
      <c r="H22" s="8">
        <f>H20-50</f>
        <v>-100</v>
      </c>
      <c r="I22" s="5">
        <f>IF(H22&gt;900,900,H22)</f>
        <v>-100</v>
      </c>
      <c r="J22" s="6">
        <f>IF(I22&gt;0,I22*'National Rate Table'!E8,0)</f>
        <v>0</v>
      </c>
      <c r="K22" s="5"/>
      <c r="L22" s="5"/>
      <c r="M22" s="5"/>
      <c r="N22" s="5"/>
      <c r="O22" s="5"/>
      <c r="P22" s="6"/>
      <c r="Q22" s="6"/>
    </row>
    <row r="23" spans="2:17" x14ac:dyDescent="0.25">
      <c r="B23" s="4"/>
      <c r="C23" s="4"/>
      <c r="D23" s="4">
        <f>J31</f>
        <v>0</v>
      </c>
      <c r="E23" s="5" t="s">
        <v>26</v>
      </c>
      <c r="F23" s="5">
        <v>1001</v>
      </c>
      <c r="G23" s="5">
        <v>5000</v>
      </c>
      <c r="H23" s="5" t="s">
        <v>16</v>
      </c>
      <c r="I23" s="5" t="s">
        <v>7</v>
      </c>
      <c r="J23" s="6" t="s">
        <v>21</v>
      </c>
      <c r="K23" s="5"/>
      <c r="L23" s="5"/>
      <c r="M23" s="5"/>
      <c r="N23" s="5"/>
      <c r="O23" s="5"/>
      <c r="P23" s="6"/>
      <c r="Q23" s="6"/>
    </row>
    <row r="24" spans="2:17" x14ac:dyDescent="0.25">
      <c r="B24" s="4"/>
      <c r="C24" s="4"/>
      <c r="D24" s="4" t="s">
        <v>52</v>
      </c>
      <c r="E24" s="5"/>
      <c r="F24" s="5"/>
      <c r="G24" s="5"/>
      <c r="H24" s="8">
        <f>H22-900</f>
        <v>-1000</v>
      </c>
      <c r="I24" s="5">
        <f>IF(H24&gt;4000,4000,H24)</f>
        <v>-1000</v>
      </c>
      <c r="J24" s="6">
        <f>IF(I24&gt;0,I24*'National Rate Table'!E9,0)</f>
        <v>0</v>
      </c>
      <c r="K24" s="5"/>
      <c r="L24" s="5"/>
      <c r="M24" s="5"/>
      <c r="N24" s="5"/>
      <c r="O24" s="5"/>
      <c r="P24" s="6"/>
      <c r="Q24" s="6"/>
    </row>
    <row r="25" spans="2:17" x14ac:dyDescent="0.25">
      <c r="B25" s="4"/>
      <c r="C25" s="4"/>
      <c r="D25" s="4">
        <f>D23*1.2</f>
        <v>0</v>
      </c>
      <c r="E25" s="5" t="s">
        <v>25</v>
      </c>
      <c r="F25" s="5">
        <v>5001</v>
      </c>
      <c r="G25" s="5">
        <v>10000</v>
      </c>
      <c r="H25" s="5" t="s">
        <v>20</v>
      </c>
      <c r="I25" s="5" t="s">
        <v>7</v>
      </c>
      <c r="J25" s="6" t="s">
        <v>22</v>
      </c>
      <c r="K25" s="5"/>
      <c r="L25" s="5"/>
      <c r="M25" s="5"/>
      <c r="N25" s="5"/>
      <c r="O25" s="5"/>
      <c r="P25" s="6"/>
      <c r="Q25" s="6"/>
    </row>
    <row r="26" spans="2:17" x14ac:dyDescent="0.25">
      <c r="B26" s="4"/>
      <c r="C26" s="4"/>
      <c r="D26" s="4" t="s">
        <v>54</v>
      </c>
      <c r="E26" s="5"/>
      <c r="F26" s="5"/>
      <c r="G26" s="5"/>
      <c r="H26" s="8">
        <f>H24-4000</f>
        <v>-5000</v>
      </c>
      <c r="I26" s="5">
        <f>IF(H26&gt;5000,5000,H26)</f>
        <v>-5000</v>
      </c>
      <c r="J26" s="6">
        <f>IF(I26&gt;0,I26*'National Rate Table'!E10, 0)</f>
        <v>0</v>
      </c>
      <c r="K26" s="5"/>
      <c r="L26" s="5"/>
      <c r="M26" s="5"/>
      <c r="N26" s="5"/>
      <c r="O26" s="5"/>
      <c r="P26" s="6"/>
      <c r="Q26" s="6"/>
    </row>
    <row r="27" spans="2:17" x14ac:dyDescent="0.25">
      <c r="B27" s="4"/>
      <c r="C27" s="4"/>
      <c r="D27" s="4">
        <f>D23*0.7</f>
        <v>0</v>
      </c>
      <c r="E27" s="5" t="s">
        <v>27</v>
      </c>
      <c r="F27" s="5">
        <v>10001</v>
      </c>
      <c r="G27" s="5">
        <v>15000</v>
      </c>
      <c r="H27" s="5" t="s">
        <v>28</v>
      </c>
      <c r="I27" s="5" t="s">
        <v>7</v>
      </c>
      <c r="J27" s="6" t="s">
        <v>29</v>
      </c>
      <c r="K27" s="5"/>
      <c r="L27" s="5"/>
      <c r="M27" s="5"/>
      <c r="N27" s="5"/>
      <c r="O27" s="5"/>
      <c r="P27" s="6"/>
      <c r="Q27" s="6"/>
    </row>
    <row r="28" spans="2:17" x14ac:dyDescent="0.25">
      <c r="B28" s="4"/>
      <c r="C28" s="4"/>
      <c r="D28" s="4"/>
      <c r="E28" s="5"/>
      <c r="F28" s="5"/>
      <c r="G28" s="5"/>
      <c r="H28" s="8">
        <f>H26-5000</f>
        <v>-10000</v>
      </c>
      <c r="I28" s="5">
        <f>IF(H28&gt;5000,5000,H28)</f>
        <v>-10000</v>
      </c>
      <c r="J28" s="6">
        <f>IF(I28&gt;0,I28*'National Rate Table'!E11,0)</f>
        <v>0</v>
      </c>
      <c r="K28" s="5"/>
      <c r="L28" s="5"/>
      <c r="M28" s="5"/>
      <c r="N28" s="5"/>
      <c r="O28" s="5"/>
      <c r="P28" s="6"/>
      <c r="Q28" s="6"/>
    </row>
    <row r="29" spans="2:17" x14ac:dyDescent="0.25">
      <c r="B29" s="4"/>
      <c r="C29" s="4"/>
      <c r="D29" s="4"/>
      <c r="E29" s="5" t="s">
        <v>15</v>
      </c>
      <c r="F29" s="5">
        <v>150000</v>
      </c>
      <c r="G29" s="5"/>
      <c r="H29" s="5" t="s">
        <v>30</v>
      </c>
      <c r="I29" s="5" t="s">
        <v>7</v>
      </c>
      <c r="J29" s="6" t="s">
        <v>31</v>
      </c>
      <c r="K29" s="5"/>
      <c r="L29" s="5"/>
      <c r="M29" s="5"/>
      <c r="N29" s="5"/>
      <c r="O29" s="5"/>
      <c r="P29" s="6"/>
      <c r="Q29" s="6"/>
    </row>
    <row r="30" spans="2:17" x14ac:dyDescent="0.25">
      <c r="B30" s="4"/>
      <c r="C30" s="4"/>
      <c r="D30" s="4"/>
      <c r="E30" s="5"/>
      <c r="F30" s="5"/>
      <c r="G30" s="5"/>
      <c r="H30" s="8">
        <f>H28-5000</f>
        <v>-15000</v>
      </c>
      <c r="I30" s="8">
        <f>H30</f>
        <v>-15000</v>
      </c>
      <c r="J30" s="6">
        <f>IF(I30&gt;0,I30*'National Rate Table'!E12,0)</f>
        <v>0</v>
      </c>
      <c r="K30" s="5"/>
      <c r="L30" s="5"/>
      <c r="M30" s="5"/>
      <c r="N30" s="5"/>
      <c r="O30" s="5"/>
      <c r="P30" s="6"/>
      <c r="Q30" s="6"/>
    </row>
    <row r="31" spans="2:17" x14ac:dyDescent="0.25">
      <c r="B31" s="4"/>
      <c r="C31" s="4"/>
      <c r="D31" s="9"/>
      <c r="E31" s="10"/>
      <c r="F31" s="10"/>
      <c r="G31" s="10"/>
      <c r="H31" s="11" t="s">
        <v>33</v>
      </c>
      <c r="I31" s="11">
        <f>SUM(I18:I30)</f>
        <v>-31150</v>
      </c>
      <c r="J31" s="12">
        <f>SUM(J18:J30)</f>
        <v>0</v>
      </c>
      <c r="K31" s="5"/>
      <c r="L31" s="5"/>
      <c r="M31" s="5"/>
      <c r="N31" s="5"/>
      <c r="O31" s="5"/>
      <c r="P31" s="6"/>
      <c r="Q31" s="6"/>
    </row>
    <row r="32" spans="2:17" x14ac:dyDescent="0.25"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6"/>
    </row>
    <row r="33" spans="2:17" x14ac:dyDescent="0.25">
      <c r="B33" s="4"/>
      <c r="C33" s="4"/>
      <c r="D33" s="13" t="s">
        <v>61</v>
      </c>
      <c r="E33" s="3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  <c r="Q33" s="6"/>
    </row>
    <row r="34" spans="2:17" x14ac:dyDescent="0.25">
      <c r="B34" s="4"/>
      <c r="C34" s="4"/>
      <c r="D34" s="4"/>
      <c r="E34" s="6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  <c r="Q34" s="6"/>
    </row>
    <row r="35" spans="2:17" x14ac:dyDescent="0.25">
      <c r="B35" s="4"/>
      <c r="C35" s="4"/>
      <c r="D35" s="9" t="s">
        <v>57</v>
      </c>
      <c r="E35" s="14">
        <f>ROUNDUP(('D, M, R &amp; W Rates'!I17/1000),0)</f>
        <v>0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  <c r="Q35" s="6"/>
    </row>
    <row r="36" spans="2:17" x14ac:dyDescent="0.25">
      <c r="B36" s="4"/>
      <c r="C36" s="4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  <c r="Q36" s="6"/>
    </row>
    <row r="37" spans="2:17" x14ac:dyDescent="0.25">
      <c r="B37" s="4"/>
      <c r="C37" s="4"/>
      <c r="D37" s="13" t="s">
        <v>66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6"/>
      <c r="Q37" s="6"/>
    </row>
    <row r="38" spans="2:17" x14ac:dyDescent="0.25">
      <c r="B38" s="4"/>
      <c r="C38" s="4"/>
      <c r="D38" s="4" t="s">
        <v>65</v>
      </c>
      <c r="E38" s="5"/>
      <c r="F38" s="8">
        <f>E35-H18</f>
        <v>0</v>
      </c>
      <c r="G38" s="5"/>
      <c r="H38" s="5"/>
      <c r="I38" s="5"/>
      <c r="J38" s="5"/>
      <c r="K38" s="5"/>
      <c r="L38" s="5"/>
      <c r="M38" s="5"/>
      <c r="N38" s="5"/>
      <c r="O38" s="6"/>
      <c r="P38" s="6"/>
      <c r="Q38" s="6"/>
    </row>
    <row r="39" spans="2:17" x14ac:dyDescent="0.25">
      <c r="B39" s="4"/>
      <c r="C39" s="4"/>
      <c r="D39" s="4"/>
      <c r="E39" s="5"/>
      <c r="F39" s="5"/>
      <c r="G39" s="5" t="s">
        <v>64</v>
      </c>
      <c r="H39" s="5" t="s">
        <v>118</v>
      </c>
      <c r="I39" s="5" t="s">
        <v>117</v>
      </c>
      <c r="J39" s="5" t="s">
        <v>120</v>
      </c>
      <c r="K39" s="17" t="s">
        <v>119</v>
      </c>
      <c r="L39" s="17" t="s">
        <v>122</v>
      </c>
      <c r="M39" s="17" t="s">
        <v>123</v>
      </c>
      <c r="N39" s="5" t="s">
        <v>71</v>
      </c>
      <c r="O39" s="6" t="s">
        <v>72</v>
      </c>
      <c r="P39" s="6"/>
      <c r="Q39" s="6"/>
    </row>
    <row r="40" spans="2:17" x14ac:dyDescent="0.25">
      <c r="B40" s="4"/>
      <c r="C40" s="4"/>
      <c r="D40" s="4">
        <v>1</v>
      </c>
      <c r="E40" s="5">
        <v>0</v>
      </c>
      <c r="F40" s="5">
        <v>50</v>
      </c>
      <c r="G40" s="5" t="b">
        <f>IF(AND(H18&gt;E40,H18&lt;=F40), TRUE, FALSE)</f>
        <v>0</v>
      </c>
      <c r="H40" s="8">
        <v>50</v>
      </c>
      <c r="I40" s="8">
        <f>IF(G40=TRUE,ABS(((F40-H18))),0)</f>
        <v>0</v>
      </c>
      <c r="J40" s="5">
        <v>0</v>
      </c>
      <c r="K40" s="132">
        <v>0</v>
      </c>
      <c r="L40" s="5"/>
      <c r="M40" s="141">
        <v>0</v>
      </c>
      <c r="N40" s="5">
        <f>IF(AND(SUM(J40:J46)&lt;0,G40=TRUE),F38*'National Rate Table'!E6,IF((I40+J40+K40)&lt;0,0,(J40+I40+K40)*'National Rate Table'!E6))</f>
        <v>0</v>
      </c>
      <c r="O40" s="6">
        <f t="shared" ref="O40:O46" si="0">N40*1.2</f>
        <v>0</v>
      </c>
      <c r="P40" s="6"/>
      <c r="Q40" s="6"/>
    </row>
    <row r="41" spans="2:17" x14ac:dyDescent="0.25">
      <c r="B41" s="4"/>
      <c r="C41" s="4"/>
      <c r="D41" s="4">
        <v>2</v>
      </c>
      <c r="E41" s="5">
        <v>50</v>
      </c>
      <c r="F41" s="5">
        <v>100</v>
      </c>
      <c r="G41" s="5" t="b">
        <f>IF(AND(H18&gt;E41,H18&lt;=F41), TRUE, FALSE)</f>
        <v>0</v>
      </c>
      <c r="H41" s="8">
        <v>50</v>
      </c>
      <c r="I41" s="8">
        <f>IF(G41=TRUE,ABS((F41-H18)),0)</f>
        <v>0</v>
      </c>
      <c r="J41" s="5">
        <f>IF(I40&gt;0,IF((F38-I40)&gt;H41,H41,F38-I40),0)</f>
        <v>0</v>
      </c>
      <c r="K41" s="132">
        <v>0</v>
      </c>
      <c r="L41" s="132">
        <f>E35-F40</f>
        <v>-50</v>
      </c>
      <c r="M41" s="141">
        <f>IF(AND(L41&gt;0,SUM(I41:K41)=0,G40=TRUE),L41*'National Rate Table'!E7,0)</f>
        <v>0</v>
      </c>
      <c r="N41" s="5">
        <f>IF(AND(SUM(J40:J46)&lt;0,G41=TRUE),F38*'National Rate Table'!E7,IF((I41+J41+K41)&lt;0,0,(J41+I41+K41)*'National Rate Table'!E7))</f>
        <v>0</v>
      </c>
      <c r="O41" s="6">
        <f t="shared" si="0"/>
        <v>0</v>
      </c>
      <c r="P41" s="6"/>
      <c r="Q41" s="6"/>
    </row>
    <row r="42" spans="2:17" x14ac:dyDescent="0.25">
      <c r="B42" s="4"/>
      <c r="C42" s="4"/>
      <c r="D42" s="4">
        <v>3</v>
      </c>
      <c r="E42" s="5">
        <v>101</v>
      </c>
      <c r="F42" s="5">
        <v>1000</v>
      </c>
      <c r="G42" s="5" t="b">
        <f>IF(AND(H18&gt;E42,H18&lt;=F42), TRUE, FALSE)</f>
        <v>0</v>
      </c>
      <c r="H42" s="8">
        <v>900</v>
      </c>
      <c r="I42" s="8">
        <f>IF(G42=TRUE,ABS((F42-H18)),0)</f>
        <v>0</v>
      </c>
      <c r="J42" s="5">
        <f>IF(I41&gt;0,IF((F38-I41)&gt;H42,H42,F38-I41),0)</f>
        <v>0</v>
      </c>
      <c r="K42" s="132">
        <f>IF(AND((J41+I40)&lt;F38,(J41+I40)&gt;0),F38-(J41+I40),0)</f>
        <v>0</v>
      </c>
      <c r="L42" s="132">
        <f>E35-F41</f>
        <v>-100</v>
      </c>
      <c r="M42" s="141">
        <f>IF(AND(L42&gt;0,SUM(I42:K42)=0,G41=TRUE),L42*'National Rate Table'!E8,0)</f>
        <v>0</v>
      </c>
      <c r="N42" s="5">
        <f>IF(AND(SUM(J40:J46)&lt;0,G42=TRUE),F38*'National Rate Table'!E8,IF((I42+J42+K42)&lt;0,0,(J42+I42+K42)*'National Rate Table'!E8))</f>
        <v>0</v>
      </c>
      <c r="O42" s="6">
        <f t="shared" si="0"/>
        <v>0</v>
      </c>
      <c r="P42" s="6"/>
      <c r="Q42" s="6"/>
    </row>
    <row r="43" spans="2:17" x14ac:dyDescent="0.25">
      <c r="B43" s="4"/>
      <c r="C43" s="4"/>
      <c r="D43" s="4">
        <v>4</v>
      </c>
      <c r="E43" s="5">
        <v>1001</v>
      </c>
      <c r="F43" s="5">
        <v>5000</v>
      </c>
      <c r="G43" s="5" t="b">
        <f>IF(AND(H18&gt;E43,H18&lt;=F43), TRUE, FALSE)</f>
        <v>0</v>
      </c>
      <c r="H43" s="8">
        <v>4000</v>
      </c>
      <c r="I43" s="8">
        <f>IF(G43=TRUE,ABS((F43-H18)),0)</f>
        <v>0</v>
      </c>
      <c r="J43" s="5">
        <f>IF(I42&gt;0,IF((F38-I42)&gt;H43,H43,F38-I42),0)</f>
        <v>0</v>
      </c>
      <c r="K43" s="132">
        <f>IF(AND((J42+I41)&lt;F38,(J42+I41)&gt;0),F38-(J42+I41),0)</f>
        <v>0</v>
      </c>
      <c r="L43" s="132">
        <f>E35-F42</f>
        <v>-1000</v>
      </c>
      <c r="M43" s="141">
        <f>IF(AND(L43&gt;0,SUM(I43:K43)=0,G42=TRUE),L43*'National Rate Table'!E9,0)</f>
        <v>0</v>
      </c>
      <c r="N43" s="5">
        <f>IF(AND(SUM(J40:J46)&lt;0,G43=TRUE),F38*'National Rate Table'!E9,IF((I43+J43+K43)&lt;0,0,(J43+I43+K43)*'National Rate Table'!E9))</f>
        <v>0</v>
      </c>
      <c r="O43" s="6">
        <f t="shared" si="0"/>
        <v>0</v>
      </c>
      <c r="P43" s="6"/>
      <c r="Q43" s="6"/>
    </row>
    <row r="44" spans="2:17" x14ac:dyDescent="0.25">
      <c r="B44" s="4"/>
      <c r="C44" s="4"/>
      <c r="D44" s="4">
        <v>5</v>
      </c>
      <c r="E44" s="5">
        <v>5001</v>
      </c>
      <c r="F44" s="5">
        <v>10000</v>
      </c>
      <c r="G44" s="5" t="b">
        <f>IF(AND(H18&gt;E44,H18&lt;=F44), TRUE, FALSE)</f>
        <v>0</v>
      </c>
      <c r="H44" s="8">
        <v>5000</v>
      </c>
      <c r="I44" s="8">
        <f>IF(G44=TRUE,ABS((F44-H18)),0)</f>
        <v>0</v>
      </c>
      <c r="J44" s="5">
        <f>IF(I43&gt;0,IF((F38-I43)&gt;H44,H44,F38-I43),0)</f>
        <v>0</v>
      </c>
      <c r="K44" s="132">
        <f>IF(AND((J43+I42)&lt;F38,(J43+I42)&gt;0),F38-(J43+I42),0)</f>
        <v>0</v>
      </c>
      <c r="L44" s="132">
        <f>E35-F43</f>
        <v>-5000</v>
      </c>
      <c r="M44" s="141">
        <f>IF(AND(L44&gt;0,SUM(I44:K44)=0,G43=TRUE),L44*'National Rate Table'!E10,0)</f>
        <v>0</v>
      </c>
      <c r="N44" s="5">
        <f>IF(AND(SUM(J40:J46)&lt;0,G44=TRUE),F38*'National Rate Table'!E10,IF((I44+J44+K44)&lt;0,0,(J44+I44+K44)*'National Rate Table'!E10))</f>
        <v>0</v>
      </c>
      <c r="O44" s="6">
        <f t="shared" si="0"/>
        <v>0</v>
      </c>
      <c r="P44" s="6"/>
      <c r="Q44" s="6"/>
    </row>
    <row r="45" spans="2:17" x14ac:dyDescent="0.25">
      <c r="B45" s="4"/>
      <c r="C45" s="4"/>
      <c r="D45" s="4">
        <v>6</v>
      </c>
      <c r="E45" s="5">
        <v>10001</v>
      </c>
      <c r="F45" s="5">
        <v>15000</v>
      </c>
      <c r="G45" s="5" t="b">
        <f>IF(AND(H18&gt;E45,H18&lt;=F45), TRUE, FALSE)</f>
        <v>0</v>
      </c>
      <c r="H45" s="8">
        <v>5000</v>
      </c>
      <c r="I45" s="8">
        <f>IF(G45=TRUE,ABS((F45-H18)),0)</f>
        <v>0</v>
      </c>
      <c r="J45" s="5">
        <f>IF(I44&gt;0,IF((F38-I44)&gt;H45,H45,F38-I44),0)</f>
        <v>0</v>
      </c>
      <c r="K45" s="132">
        <f>IF(AND((J44+I43)&lt;F38,(J44+I43)&gt;0),F38-(J44+I43),0)</f>
        <v>0</v>
      </c>
      <c r="L45" s="132">
        <f>E35-F44</f>
        <v>-10000</v>
      </c>
      <c r="M45" s="141">
        <f>IF(AND(L45&gt;0,SUM(I45:K45)=0,G44=TRUE),L45*'National Rate Table'!E11,0)</f>
        <v>0</v>
      </c>
      <c r="N45" s="5">
        <f>IF(AND(SUM(J40:J46)&lt;0,G45=TRUE),F38*'National Rate Table'!E11,IF((I45+J45+K45)&lt;0,0,(J45+I45+K45)*'National Rate Table'!E11))</f>
        <v>0</v>
      </c>
      <c r="O45" s="6">
        <f t="shared" si="0"/>
        <v>0</v>
      </c>
      <c r="P45" s="6"/>
      <c r="Q45" s="6"/>
    </row>
    <row r="46" spans="2:17" x14ac:dyDescent="0.25">
      <c r="B46" s="4"/>
      <c r="C46" s="4"/>
      <c r="D46" s="4">
        <v>7</v>
      </c>
      <c r="E46" s="5">
        <v>150000</v>
      </c>
      <c r="F46" s="5"/>
      <c r="G46" s="5" t="b">
        <f>IF(H18&gt;E46, TRUE, FALSE)</f>
        <v>0</v>
      </c>
      <c r="H46" s="8"/>
      <c r="I46" s="8">
        <f>IF(G46=TRUE,F38,0)</f>
        <v>0</v>
      </c>
      <c r="J46" s="5">
        <f>IF(I45&gt;0,IF((F38-I45)&gt;H46,H46,F38-I45),0)</f>
        <v>0</v>
      </c>
      <c r="K46" s="132">
        <f>IF(AND((J45+I44)&lt;F38,(J45+I44)&gt;0),F38-(J45+I44),0)</f>
        <v>0</v>
      </c>
      <c r="L46" s="132">
        <f>E35-F45</f>
        <v>-15000</v>
      </c>
      <c r="M46" s="141">
        <f>IF(AND(L46&gt;0,SUM(I46:K46)=0,G45=TRUE),L46*'National Rate Table'!E12,0)</f>
        <v>0</v>
      </c>
      <c r="N46" s="5">
        <f>IF(AND(SUM(J40:J46)&lt;0,G46=TRUE),F38*'National Rate Table'!E12,IF((I46+J46+K46)&lt;0,0,(J46+I46+K46)*'National Rate Table'!E12))</f>
        <v>0</v>
      </c>
      <c r="O46" s="6">
        <f t="shared" si="0"/>
        <v>0</v>
      </c>
      <c r="P46" s="6"/>
      <c r="Q46" s="6"/>
    </row>
    <row r="47" spans="2:17" x14ac:dyDescent="0.25">
      <c r="B47" s="4"/>
      <c r="C47" s="4"/>
      <c r="D47" s="4"/>
      <c r="E47" s="5"/>
      <c r="F47" s="5" t="s">
        <v>68</v>
      </c>
      <c r="G47" s="5"/>
      <c r="H47" s="5"/>
      <c r="I47" s="5"/>
      <c r="J47" s="5"/>
      <c r="K47" s="5"/>
      <c r="L47" s="5"/>
      <c r="M47" s="5"/>
      <c r="N47" s="15">
        <f>IF(SUM(N40:N46)&lt;0,0,(SUM(N40:N46))+SUM(M40:M46))*0.7</f>
        <v>0</v>
      </c>
      <c r="O47" s="16">
        <f>N47*1.2</f>
        <v>0</v>
      </c>
      <c r="P47" s="6"/>
      <c r="Q47" s="6"/>
    </row>
    <row r="48" spans="2:17" x14ac:dyDescent="0.25">
      <c r="B48" s="4"/>
      <c r="C48" s="4"/>
      <c r="D48" s="4"/>
      <c r="E48" s="5"/>
      <c r="F48" s="5" t="s">
        <v>69</v>
      </c>
      <c r="G48" s="5"/>
      <c r="H48" s="5"/>
      <c r="I48" s="5"/>
      <c r="J48" s="5"/>
      <c r="K48" s="5"/>
      <c r="L48" s="5"/>
      <c r="M48" s="5"/>
      <c r="N48" s="15">
        <f>IF(E35&gt;0,35,0)</f>
        <v>0</v>
      </c>
      <c r="O48" s="16">
        <f>IF(E35&gt;0,35,0)</f>
        <v>0</v>
      </c>
      <c r="P48" s="6"/>
      <c r="Q48" s="6"/>
    </row>
    <row r="49" spans="2:17" x14ac:dyDescent="0.25">
      <c r="B49" s="4"/>
      <c r="C49" s="4"/>
      <c r="D49" s="9"/>
      <c r="E49" s="10"/>
      <c r="F49" s="10" t="s">
        <v>70</v>
      </c>
      <c r="G49" s="10"/>
      <c r="H49" s="10"/>
      <c r="I49" s="10"/>
      <c r="J49" s="10"/>
      <c r="K49" s="10"/>
      <c r="L49" s="5"/>
      <c r="M49" s="5"/>
      <c r="N49" s="11">
        <f>N48+N47</f>
        <v>0</v>
      </c>
      <c r="O49" s="12">
        <f>O48+O47</f>
        <v>0</v>
      </c>
      <c r="P49" s="6"/>
      <c r="Q49" s="6"/>
    </row>
    <row r="50" spans="2:17" x14ac:dyDescent="0.25">
      <c r="B50" s="4"/>
      <c r="C50" s="4"/>
      <c r="D50" s="5"/>
      <c r="E50" s="5"/>
      <c r="F50" s="5"/>
      <c r="G50" s="5"/>
      <c r="H50" s="5"/>
      <c r="I50" s="5"/>
      <c r="J50" s="5"/>
      <c r="K50" s="5"/>
      <c r="L50" s="2"/>
      <c r="M50" s="2"/>
      <c r="N50" s="5"/>
      <c r="O50" s="5"/>
      <c r="P50" s="6"/>
      <c r="Q50" s="6"/>
    </row>
    <row r="51" spans="2:17" x14ac:dyDescent="0.25">
      <c r="B51" s="4"/>
      <c r="C51" s="4"/>
      <c r="D51" s="13" t="s">
        <v>75</v>
      </c>
      <c r="E51" s="2"/>
      <c r="F51" s="2"/>
      <c r="G51" s="2"/>
      <c r="H51" s="2"/>
      <c r="I51" s="2"/>
      <c r="J51" s="2"/>
      <c r="K51" s="3"/>
      <c r="L51" s="5"/>
      <c r="M51" s="5"/>
      <c r="N51" s="5"/>
      <c r="O51" s="5"/>
      <c r="P51" s="6"/>
      <c r="Q51" s="6"/>
    </row>
    <row r="52" spans="2:17" x14ac:dyDescent="0.25">
      <c r="B52" s="4"/>
      <c r="C52" s="4"/>
      <c r="D52" s="4"/>
      <c r="E52" s="5"/>
      <c r="F52" s="5" t="s">
        <v>62</v>
      </c>
      <c r="G52" s="5" t="s">
        <v>63</v>
      </c>
      <c r="H52" s="5"/>
      <c r="I52" s="5"/>
      <c r="J52" s="5"/>
      <c r="K52" s="6"/>
      <c r="L52" s="5"/>
      <c r="M52" s="5"/>
      <c r="N52" s="5"/>
      <c r="O52" s="5"/>
      <c r="P52" s="6"/>
      <c r="Q52" s="6"/>
    </row>
    <row r="53" spans="2:17" x14ac:dyDescent="0.25">
      <c r="B53" s="4"/>
      <c r="C53" s="4"/>
      <c r="D53" s="4" t="s">
        <v>0</v>
      </c>
      <c r="E53" s="5"/>
      <c r="F53" s="5">
        <v>0</v>
      </c>
      <c r="G53" s="5">
        <v>49</v>
      </c>
      <c r="H53" s="5" t="s">
        <v>1</v>
      </c>
      <c r="I53" s="5" t="s">
        <v>32</v>
      </c>
      <c r="J53" s="5" t="s">
        <v>3</v>
      </c>
      <c r="K53" s="19" t="s">
        <v>76</v>
      </c>
      <c r="L53" s="5"/>
      <c r="M53" s="5"/>
      <c r="N53" s="5"/>
      <c r="O53" s="5"/>
      <c r="P53" s="6"/>
      <c r="Q53" s="6"/>
    </row>
    <row r="54" spans="2:17" x14ac:dyDescent="0.25">
      <c r="B54" s="4"/>
      <c r="C54" s="4"/>
      <c r="D54" s="7">
        <f>IF('D, M, R &amp; W Rates'!I15&gt;'D, M, R &amp; W Rates'!I13,'D, M, R &amp; W Rates'!I13,'D, M, R &amp; W Rates'!I15)</f>
        <v>0</v>
      </c>
      <c r="E54" s="5"/>
      <c r="F54" s="5"/>
      <c r="G54" s="5"/>
      <c r="H54" s="8">
        <f>ROUNDUP((D54/1000),0)</f>
        <v>0</v>
      </c>
      <c r="I54" s="5">
        <f>IF(H54&lt;50,H54,50)</f>
        <v>0</v>
      </c>
      <c r="J54" s="5">
        <f>IF(H54&gt;0,I54*'National Rate Table'!E6,0)</f>
        <v>0</v>
      </c>
      <c r="K54" s="6">
        <f>J54*1.2</f>
        <v>0</v>
      </c>
      <c r="L54" s="5"/>
      <c r="M54" s="5"/>
      <c r="N54" s="5"/>
      <c r="O54" s="5"/>
      <c r="P54" s="6"/>
      <c r="Q54" s="6"/>
    </row>
    <row r="55" spans="2:17" x14ac:dyDescent="0.25">
      <c r="B55" s="4"/>
      <c r="C55" s="4"/>
      <c r="D55" s="4"/>
      <c r="E55" s="5" t="s">
        <v>23</v>
      </c>
      <c r="F55" s="5">
        <v>50</v>
      </c>
      <c r="G55" s="5">
        <v>100</v>
      </c>
      <c r="H55" s="5" t="s">
        <v>2</v>
      </c>
      <c r="I55" s="5" t="s">
        <v>7</v>
      </c>
      <c r="J55" s="5" t="s">
        <v>8</v>
      </c>
      <c r="K55" s="6"/>
      <c r="L55" s="5"/>
      <c r="M55" s="5"/>
      <c r="N55" s="5"/>
      <c r="O55" s="5"/>
      <c r="P55" s="6"/>
      <c r="Q55" s="6"/>
    </row>
    <row r="56" spans="2:17" x14ac:dyDescent="0.25">
      <c r="B56" s="4"/>
      <c r="C56" s="4"/>
      <c r="D56" s="4"/>
      <c r="E56" s="5"/>
      <c r="F56" s="5"/>
      <c r="G56" s="5"/>
      <c r="H56" s="8">
        <f>H54-50</f>
        <v>-50</v>
      </c>
      <c r="I56" s="8">
        <f>IF(H56&gt;50,50,H56)</f>
        <v>-50</v>
      </c>
      <c r="J56" s="5">
        <f>IF(I56&gt;0,I56*'National Rate Table'!E7,0)</f>
        <v>0</v>
      </c>
      <c r="K56" s="6">
        <f>J56*1.2</f>
        <v>0</v>
      </c>
      <c r="L56" s="5"/>
      <c r="M56" s="5"/>
      <c r="N56" s="5"/>
      <c r="O56" s="5"/>
      <c r="P56" s="6"/>
      <c r="Q56" s="6"/>
    </row>
    <row r="57" spans="2:17" x14ac:dyDescent="0.25">
      <c r="B57" s="4"/>
      <c r="C57" s="4"/>
      <c r="D57" s="4"/>
      <c r="E57" s="5" t="s">
        <v>24</v>
      </c>
      <c r="F57" s="5">
        <v>101</v>
      </c>
      <c r="G57" s="5">
        <v>1000</v>
      </c>
      <c r="H57" s="5" t="s">
        <v>9</v>
      </c>
      <c r="I57" s="5" t="s">
        <v>7</v>
      </c>
      <c r="J57" s="5" t="s">
        <v>10</v>
      </c>
      <c r="K57" s="6"/>
      <c r="L57" s="5"/>
      <c r="M57" s="5"/>
      <c r="N57" s="5"/>
      <c r="O57" s="5"/>
      <c r="P57" s="6"/>
      <c r="Q57" s="6"/>
    </row>
    <row r="58" spans="2:17" x14ac:dyDescent="0.25">
      <c r="B58" s="4"/>
      <c r="C58" s="4"/>
      <c r="D58" s="4"/>
      <c r="E58" s="5"/>
      <c r="F58" s="5"/>
      <c r="G58" s="5"/>
      <c r="H58" s="8">
        <f>H56-50</f>
        <v>-100</v>
      </c>
      <c r="I58" s="5">
        <f>IF(H58&gt;900,900,H58)</f>
        <v>-100</v>
      </c>
      <c r="J58" s="5">
        <f>IF(I58&gt;0,I58*'National Rate Table'!E8,0)</f>
        <v>0</v>
      </c>
      <c r="K58" s="6">
        <f>J58*1.2</f>
        <v>0</v>
      </c>
      <c r="L58" s="5"/>
      <c r="M58" s="5"/>
      <c r="N58" s="5"/>
      <c r="O58" s="5"/>
      <c r="P58" s="6"/>
      <c r="Q58" s="6"/>
    </row>
    <row r="59" spans="2:17" x14ac:dyDescent="0.25">
      <c r="B59" s="4"/>
      <c r="C59" s="4"/>
      <c r="D59" s="4"/>
      <c r="E59" s="5" t="s">
        <v>26</v>
      </c>
      <c r="F59" s="5">
        <v>1001</v>
      </c>
      <c r="G59" s="5">
        <v>5000</v>
      </c>
      <c r="H59" s="5" t="s">
        <v>16</v>
      </c>
      <c r="I59" s="5" t="s">
        <v>7</v>
      </c>
      <c r="J59" s="5" t="s">
        <v>21</v>
      </c>
      <c r="K59" s="6"/>
      <c r="L59" s="5"/>
      <c r="M59" s="5"/>
      <c r="N59" s="5"/>
      <c r="O59" s="5"/>
      <c r="P59" s="6"/>
      <c r="Q59" s="6"/>
    </row>
    <row r="60" spans="2:17" x14ac:dyDescent="0.25">
      <c r="B60" s="4"/>
      <c r="C60" s="4"/>
      <c r="D60" s="4"/>
      <c r="E60" s="5"/>
      <c r="F60" s="5"/>
      <c r="G60" s="5"/>
      <c r="H60" s="8">
        <f>H58-900</f>
        <v>-1000</v>
      </c>
      <c r="I60" s="5">
        <f>IF(H60&gt;4000,4000,H60)</f>
        <v>-1000</v>
      </c>
      <c r="J60" s="5">
        <f>IF(I60&gt;0,I60*'National Rate Table'!E9,0)</f>
        <v>0</v>
      </c>
      <c r="K60" s="6">
        <f>J60*1.2</f>
        <v>0</v>
      </c>
      <c r="L60" s="5"/>
      <c r="M60" s="5"/>
      <c r="N60" s="5"/>
      <c r="O60" s="5"/>
      <c r="P60" s="6"/>
      <c r="Q60" s="6"/>
    </row>
    <row r="61" spans="2:17" x14ac:dyDescent="0.25">
      <c r="B61" s="4"/>
      <c r="C61" s="4"/>
      <c r="D61" s="4"/>
      <c r="E61" s="5" t="s">
        <v>25</v>
      </c>
      <c r="F61" s="5">
        <v>5001</v>
      </c>
      <c r="G61" s="5">
        <v>10000</v>
      </c>
      <c r="H61" s="5" t="s">
        <v>20</v>
      </c>
      <c r="I61" s="5" t="s">
        <v>7</v>
      </c>
      <c r="J61" s="5" t="s">
        <v>22</v>
      </c>
      <c r="K61" s="6"/>
      <c r="L61" s="5"/>
      <c r="M61" s="5"/>
      <c r="N61" s="5"/>
      <c r="O61" s="5"/>
      <c r="P61" s="6"/>
      <c r="Q61" s="6"/>
    </row>
    <row r="62" spans="2:17" x14ac:dyDescent="0.25">
      <c r="B62" s="4"/>
      <c r="C62" s="4"/>
      <c r="D62" s="4"/>
      <c r="E62" s="5"/>
      <c r="F62" s="5"/>
      <c r="G62" s="5"/>
      <c r="H62" s="8">
        <f>H60-4000</f>
        <v>-5000</v>
      </c>
      <c r="I62" s="5">
        <f>IF(H62&gt;5000,5000,H62)</f>
        <v>-5000</v>
      </c>
      <c r="J62" s="5">
        <f>IF(I62&gt;0,I62*'National Rate Table'!E10, 0)</f>
        <v>0</v>
      </c>
      <c r="K62" s="6">
        <f>J62*1.2</f>
        <v>0</v>
      </c>
      <c r="L62" s="5"/>
      <c r="M62" s="5"/>
      <c r="N62" s="5"/>
      <c r="O62" s="5"/>
      <c r="P62" s="6"/>
      <c r="Q62" s="6"/>
    </row>
    <row r="63" spans="2:17" x14ac:dyDescent="0.25">
      <c r="B63" s="4"/>
      <c r="C63" s="4"/>
      <c r="D63" s="4"/>
      <c r="E63" s="5" t="s">
        <v>27</v>
      </c>
      <c r="F63" s="5">
        <v>10001</v>
      </c>
      <c r="G63" s="5">
        <v>15000</v>
      </c>
      <c r="H63" s="5" t="s">
        <v>28</v>
      </c>
      <c r="I63" s="5" t="s">
        <v>7</v>
      </c>
      <c r="J63" s="5" t="s">
        <v>29</v>
      </c>
      <c r="K63" s="6"/>
      <c r="L63" s="5"/>
      <c r="M63" s="5"/>
      <c r="N63" s="5"/>
      <c r="O63" s="5"/>
      <c r="P63" s="6"/>
      <c r="Q63" s="6"/>
    </row>
    <row r="64" spans="2:17" x14ac:dyDescent="0.25">
      <c r="B64" s="4"/>
      <c r="C64" s="4"/>
      <c r="D64" s="4"/>
      <c r="E64" s="5"/>
      <c r="F64" s="5"/>
      <c r="G64" s="5"/>
      <c r="H64" s="8">
        <f>H62-5000</f>
        <v>-10000</v>
      </c>
      <c r="I64" s="5">
        <f>IF(H64&gt;5000,5000,H64)</f>
        <v>-10000</v>
      </c>
      <c r="J64" s="5">
        <f>IF(I64&gt;0,I64*'National Rate Table'!E11,0)</f>
        <v>0</v>
      </c>
      <c r="K64" s="6">
        <f>J64*1.2</f>
        <v>0</v>
      </c>
      <c r="L64" s="5"/>
      <c r="M64" s="5"/>
      <c r="N64" s="5"/>
      <c r="O64" s="5"/>
      <c r="P64" s="6"/>
      <c r="Q64" s="6"/>
    </row>
    <row r="65" spans="2:17" x14ac:dyDescent="0.25">
      <c r="B65" s="4"/>
      <c r="C65" s="4"/>
      <c r="D65" s="4"/>
      <c r="E65" s="5" t="s">
        <v>15</v>
      </c>
      <c r="F65" s="5">
        <v>15001</v>
      </c>
      <c r="G65" s="5"/>
      <c r="H65" s="5" t="s">
        <v>30</v>
      </c>
      <c r="I65" s="5" t="s">
        <v>7</v>
      </c>
      <c r="J65" s="5" t="s">
        <v>31</v>
      </c>
      <c r="K65" s="6"/>
      <c r="L65" s="5"/>
      <c r="M65" s="5"/>
      <c r="N65" s="5"/>
      <c r="O65" s="5"/>
      <c r="P65" s="6"/>
      <c r="Q65" s="6"/>
    </row>
    <row r="66" spans="2:17" x14ac:dyDescent="0.25">
      <c r="B66" s="4"/>
      <c r="C66" s="4"/>
      <c r="D66" s="4"/>
      <c r="E66" s="5"/>
      <c r="F66" s="5"/>
      <c r="G66" s="5"/>
      <c r="H66" s="8">
        <f>H64-5000</f>
        <v>-15000</v>
      </c>
      <c r="I66" s="8">
        <f>H66</f>
        <v>-15000</v>
      </c>
      <c r="J66" s="5">
        <f>IF(I66&gt;0,I66*'National Rate Table'!E12,0)</f>
        <v>0</v>
      </c>
      <c r="K66" s="6">
        <f>J66*1.2</f>
        <v>0</v>
      </c>
      <c r="L66" s="5"/>
      <c r="M66" s="5"/>
      <c r="N66" s="5"/>
      <c r="O66" s="5"/>
      <c r="P66" s="6"/>
      <c r="Q66" s="6"/>
    </row>
    <row r="67" spans="2:17" x14ac:dyDescent="0.25">
      <c r="B67" s="4"/>
      <c r="C67" s="4"/>
      <c r="D67" s="4"/>
      <c r="E67" s="5"/>
      <c r="F67" s="5"/>
      <c r="G67" s="5"/>
      <c r="H67" s="15" t="s">
        <v>33</v>
      </c>
      <c r="I67" s="15">
        <f>SUM(I54:I66)</f>
        <v>-31150</v>
      </c>
      <c r="J67" s="15">
        <f>IF(SUM(J54:J66)&lt;150,150,SUM(J54:J66))</f>
        <v>150</v>
      </c>
      <c r="K67" s="15">
        <f>IF(SUM(K54:K66)&lt;150,150,SUM(K54:K66))</f>
        <v>150</v>
      </c>
      <c r="L67" s="5"/>
      <c r="M67" s="5"/>
      <c r="N67" s="5"/>
      <c r="O67" s="5"/>
      <c r="P67" s="6"/>
      <c r="Q67" s="6"/>
    </row>
    <row r="68" spans="2:17" x14ac:dyDescent="0.25">
      <c r="B68" s="4"/>
      <c r="C68" s="4"/>
      <c r="D68" s="9"/>
      <c r="E68" s="10"/>
      <c r="F68" s="10"/>
      <c r="G68" s="10"/>
      <c r="H68" s="11" t="s">
        <v>74</v>
      </c>
      <c r="I68" s="10"/>
      <c r="J68" s="11">
        <f>IF(SUM(J54:J66)=0,0,J67*0.3)</f>
        <v>0</v>
      </c>
      <c r="K68" s="11">
        <f>IF(SUM(K54:K66)=0,0,K67*0.3)</f>
        <v>0</v>
      </c>
      <c r="L68" s="5"/>
      <c r="M68" s="5"/>
      <c r="N68" s="5"/>
      <c r="O68" s="5"/>
      <c r="P68" s="6"/>
      <c r="Q68" s="6"/>
    </row>
    <row r="69" spans="2:17" x14ac:dyDescent="0.25">
      <c r="B69" s="4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20"/>
      <c r="Q69" s="6"/>
    </row>
    <row r="70" spans="2:17" x14ac:dyDescent="0.25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6"/>
    </row>
    <row r="71" spans="2:17" x14ac:dyDescent="0.25">
      <c r="B71" s="4"/>
      <c r="C71" s="1" t="s">
        <v>82</v>
      </c>
      <c r="D71" s="2"/>
      <c r="E71" s="2"/>
      <c r="F71" s="2"/>
      <c r="G71" s="2"/>
      <c r="H71" s="2"/>
      <c r="I71" s="2"/>
      <c r="J71" s="2"/>
      <c r="K71" s="2"/>
      <c r="L71" s="3"/>
      <c r="M71" s="5"/>
      <c r="N71" s="5"/>
      <c r="O71" s="5"/>
      <c r="P71" s="5"/>
      <c r="Q71" s="6"/>
    </row>
    <row r="72" spans="2:17" x14ac:dyDescent="0.25">
      <c r="B72" s="4"/>
      <c r="C72" s="4"/>
      <c r="D72" s="5"/>
      <c r="E72" s="5"/>
      <c r="F72" s="5"/>
      <c r="G72" s="5"/>
      <c r="H72" s="5"/>
      <c r="I72" s="5"/>
      <c r="J72" s="5"/>
      <c r="K72" s="5"/>
      <c r="L72" s="6"/>
      <c r="M72" s="5"/>
      <c r="N72" s="5"/>
      <c r="O72" s="5"/>
      <c r="P72" s="5"/>
      <c r="Q72" s="6"/>
    </row>
    <row r="73" spans="2:17" x14ac:dyDescent="0.25">
      <c r="B73" s="4"/>
      <c r="C73" s="4"/>
      <c r="D73" s="371" t="s">
        <v>90</v>
      </c>
      <c r="E73" s="372"/>
      <c r="F73" s="5"/>
      <c r="G73" s="371" t="s">
        <v>87</v>
      </c>
      <c r="H73" s="373"/>
      <c r="I73" s="372"/>
      <c r="J73" s="5"/>
      <c r="K73" s="5"/>
      <c r="L73" s="6"/>
      <c r="M73" s="5"/>
      <c r="N73" s="5"/>
      <c r="O73" s="5"/>
      <c r="P73" s="5"/>
      <c r="Q73" s="6"/>
    </row>
    <row r="74" spans="2:17" x14ac:dyDescent="0.25">
      <c r="B74" s="4"/>
      <c r="C74" s="4"/>
      <c r="D74" s="4" t="s">
        <v>83</v>
      </c>
      <c r="E74" s="6">
        <f>IF(D82=0,0,D87)</f>
        <v>0</v>
      </c>
      <c r="F74" s="5"/>
      <c r="G74" s="369" t="s">
        <v>85</v>
      </c>
      <c r="H74" s="370"/>
      <c r="I74" s="6">
        <f>D89</f>
        <v>0</v>
      </c>
      <c r="J74" s="5"/>
      <c r="K74" s="5"/>
      <c r="L74" s="6"/>
      <c r="M74" s="5"/>
      <c r="N74" s="5"/>
      <c r="O74" s="5"/>
      <c r="P74" s="5"/>
      <c r="Q74" s="6"/>
    </row>
    <row r="75" spans="2:17" x14ac:dyDescent="0.25">
      <c r="B75" s="4"/>
      <c r="C75" s="4"/>
      <c r="D75" s="4" t="s">
        <v>158</v>
      </c>
      <c r="E75" s="6">
        <f>IF(D100=0,0,D105)</f>
        <v>0</v>
      </c>
      <c r="F75" s="5"/>
      <c r="G75" s="369" t="s">
        <v>158</v>
      </c>
      <c r="H75" s="370"/>
      <c r="I75" s="6">
        <f>IF(D100=0,0,D107)</f>
        <v>0</v>
      </c>
      <c r="J75" s="5"/>
      <c r="K75" s="5"/>
      <c r="L75" s="6"/>
      <c r="M75" s="5"/>
      <c r="N75" s="5"/>
      <c r="O75" s="5"/>
      <c r="P75" s="5"/>
      <c r="Q75" s="6"/>
    </row>
    <row r="76" spans="2:17" x14ac:dyDescent="0.25">
      <c r="B76" s="4"/>
      <c r="C76" s="4"/>
      <c r="D76" s="4" t="s">
        <v>84</v>
      </c>
      <c r="E76" s="6">
        <f>IF(D142=0,0,D147)</f>
        <v>0</v>
      </c>
      <c r="F76" s="5"/>
      <c r="G76" s="369" t="s">
        <v>86</v>
      </c>
      <c r="H76" s="370"/>
      <c r="I76" s="6">
        <f>D149</f>
        <v>0</v>
      </c>
      <c r="J76" s="5"/>
      <c r="K76" s="5"/>
      <c r="L76" s="6"/>
      <c r="M76" s="5"/>
      <c r="N76" s="5"/>
      <c r="O76" s="5"/>
      <c r="P76" s="5"/>
      <c r="Q76" s="6"/>
    </row>
    <row r="77" spans="2:17" x14ac:dyDescent="0.25">
      <c r="B77" s="4"/>
      <c r="C77" s="4"/>
      <c r="D77" s="156" t="s">
        <v>77</v>
      </c>
      <c r="E77" s="12">
        <f>SUM(E74:E76)</f>
        <v>0</v>
      </c>
      <c r="F77" s="5"/>
      <c r="G77" s="367" t="s">
        <v>77</v>
      </c>
      <c r="H77" s="368"/>
      <c r="I77" s="12">
        <f>SUM(I74:I76)</f>
        <v>0</v>
      </c>
      <c r="J77" s="5"/>
      <c r="K77" s="5"/>
      <c r="L77" s="6"/>
      <c r="M77" s="5"/>
      <c r="N77" s="5"/>
      <c r="O77" s="5"/>
      <c r="P77" s="5"/>
      <c r="Q77" s="6"/>
    </row>
    <row r="78" spans="2:17" x14ac:dyDescent="0.25">
      <c r="B78" s="4"/>
      <c r="C78" s="4"/>
      <c r="D78" s="5"/>
      <c r="E78" s="5"/>
      <c r="F78" s="5"/>
      <c r="G78" s="5"/>
      <c r="H78" s="5"/>
      <c r="I78" s="5"/>
      <c r="J78" s="5"/>
      <c r="K78" s="5"/>
      <c r="L78" s="6"/>
      <c r="M78" s="5"/>
      <c r="N78" s="5"/>
      <c r="O78" s="5"/>
      <c r="P78" s="5"/>
      <c r="Q78" s="6"/>
    </row>
    <row r="79" spans="2:17" x14ac:dyDescent="0.25">
      <c r="B79" s="4"/>
      <c r="C79" s="4"/>
      <c r="D79" s="1" t="s">
        <v>83</v>
      </c>
      <c r="E79" s="2"/>
      <c r="F79" s="2"/>
      <c r="G79" s="2"/>
      <c r="H79" s="2"/>
      <c r="I79" s="2"/>
      <c r="J79" s="3"/>
      <c r="K79" s="5"/>
      <c r="L79" s="6"/>
      <c r="M79" s="5"/>
      <c r="N79" s="5"/>
      <c r="O79" s="5"/>
      <c r="P79" s="5"/>
      <c r="Q79" s="6"/>
    </row>
    <row r="80" spans="2:17" x14ac:dyDescent="0.25">
      <c r="B80" s="4"/>
      <c r="C80" s="4"/>
      <c r="D80" s="4"/>
      <c r="E80" s="5"/>
      <c r="F80" s="5" t="s">
        <v>62</v>
      </c>
      <c r="G80" s="5" t="s">
        <v>63</v>
      </c>
      <c r="H80" s="5"/>
      <c r="I80" s="5"/>
      <c r="J80" s="6"/>
      <c r="K80" s="5"/>
      <c r="L80" s="6"/>
      <c r="M80" s="5"/>
      <c r="N80" s="5"/>
      <c r="O80" s="5"/>
      <c r="P80" s="5"/>
      <c r="Q80" s="6"/>
    </row>
    <row r="81" spans="2:17" x14ac:dyDescent="0.25">
      <c r="B81" s="4"/>
      <c r="C81" s="4"/>
      <c r="D81" s="4" t="s">
        <v>0</v>
      </c>
      <c r="E81" s="5"/>
      <c r="F81" s="5">
        <v>0</v>
      </c>
      <c r="G81" s="5">
        <v>49</v>
      </c>
      <c r="H81" s="5" t="s">
        <v>1</v>
      </c>
      <c r="I81" s="5" t="s">
        <v>32</v>
      </c>
      <c r="J81" s="6" t="s">
        <v>3</v>
      </c>
      <c r="K81" s="5"/>
      <c r="L81" s="6"/>
      <c r="M81" s="5"/>
      <c r="N81" s="5"/>
      <c r="O81" s="5"/>
      <c r="P81" s="5"/>
      <c r="Q81" s="6"/>
    </row>
    <row r="82" spans="2:17" x14ac:dyDescent="0.25">
      <c r="B82" s="4"/>
      <c r="C82" s="4"/>
      <c r="D82" s="7">
        <f>'D, M, R &amp; W Rates'!T15</f>
        <v>0</v>
      </c>
      <c r="E82" s="5"/>
      <c r="F82" s="5"/>
      <c r="G82" s="5"/>
      <c r="H82" s="8">
        <f>ROUNDUP((D82/1000),0)</f>
        <v>0</v>
      </c>
      <c r="I82" s="8">
        <f>IF(H82&lt;50,H82,50)</f>
        <v>0</v>
      </c>
      <c r="J82" s="6">
        <f>IF(H82&gt;35,I82*'National Rate Table'!E6,150)</f>
        <v>150</v>
      </c>
      <c r="K82" s="5"/>
      <c r="L82" s="6"/>
      <c r="M82" s="5"/>
      <c r="N82" s="5"/>
      <c r="O82" s="5"/>
      <c r="P82" s="5"/>
      <c r="Q82" s="6"/>
    </row>
    <row r="83" spans="2:17" x14ac:dyDescent="0.25">
      <c r="B83" s="4"/>
      <c r="C83" s="4"/>
      <c r="D83" s="4"/>
      <c r="E83" s="5" t="s">
        <v>23</v>
      </c>
      <c r="F83" s="5">
        <v>50</v>
      </c>
      <c r="G83" s="5">
        <v>100</v>
      </c>
      <c r="H83" s="5" t="s">
        <v>2</v>
      </c>
      <c r="I83" s="5" t="s">
        <v>7</v>
      </c>
      <c r="J83" s="6" t="s">
        <v>8</v>
      </c>
      <c r="K83" s="5"/>
      <c r="L83" s="6"/>
      <c r="M83" s="5"/>
      <c r="N83" s="5"/>
      <c r="O83" s="5"/>
      <c r="P83" s="5"/>
      <c r="Q83" s="6"/>
    </row>
    <row r="84" spans="2:17" x14ac:dyDescent="0.25">
      <c r="B84" s="4"/>
      <c r="C84" s="4"/>
      <c r="D84" s="4"/>
      <c r="E84" s="5"/>
      <c r="F84" s="5"/>
      <c r="G84" s="5"/>
      <c r="H84" s="8">
        <f>H82-50</f>
        <v>-50</v>
      </c>
      <c r="I84" s="8">
        <f>IF(H84&gt;50,50,H84)</f>
        <v>-50</v>
      </c>
      <c r="J84" s="6">
        <f>IF(I84&gt;0,I84*'National Rate Table'!E7,0)</f>
        <v>0</v>
      </c>
      <c r="K84" s="5"/>
      <c r="L84" s="6"/>
      <c r="M84" s="5"/>
      <c r="N84" s="5"/>
      <c r="O84" s="5"/>
      <c r="P84" s="5"/>
      <c r="Q84" s="6"/>
    </row>
    <row r="85" spans="2:17" x14ac:dyDescent="0.25">
      <c r="B85" s="4"/>
      <c r="C85" s="4"/>
      <c r="D85" s="4"/>
      <c r="E85" s="5" t="s">
        <v>24</v>
      </c>
      <c r="F85" s="5">
        <v>101</v>
      </c>
      <c r="G85" s="5">
        <v>1000</v>
      </c>
      <c r="H85" s="5" t="s">
        <v>9</v>
      </c>
      <c r="I85" s="5" t="s">
        <v>7</v>
      </c>
      <c r="J85" s="6" t="s">
        <v>10</v>
      </c>
      <c r="K85" s="5"/>
      <c r="L85" s="6"/>
      <c r="M85" s="5"/>
      <c r="N85" s="5"/>
      <c r="O85" s="5"/>
      <c r="P85" s="5"/>
      <c r="Q85" s="6"/>
    </row>
    <row r="86" spans="2:17" x14ac:dyDescent="0.25">
      <c r="B86" s="4"/>
      <c r="C86" s="4"/>
      <c r="D86" s="4" t="s">
        <v>53</v>
      </c>
      <c r="E86" s="5"/>
      <c r="F86" s="5"/>
      <c r="G86" s="5"/>
      <c r="H86" s="8">
        <f>H84-50</f>
        <v>-100</v>
      </c>
      <c r="I86" s="5">
        <f>IF(H86&gt;900,900,H86)</f>
        <v>-100</v>
      </c>
      <c r="J86" s="6">
        <f>IF(I86&gt;0,I86*'National Rate Table'!E8,0)</f>
        <v>0</v>
      </c>
      <c r="K86" s="5"/>
      <c r="L86" s="6"/>
      <c r="M86" s="5"/>
      <c r="N86" s="5"/>
      <c r="O86" s="5"/>
      <c r="P86" s="5"/>
      <c r="Q86" s="6"/>
    </row>
    <row r="87" spans="2:17" x14ac:dyDescent="0.25">
      <c r="B87" s="4"/>
      <c r="C87" s="4"/>
      <c r="D87" s="4">
        <f>IF(J95&lt;150,150,J95)</f>
        <v>150</v>
      </c>
      <c r="E87" s="5" t="s">
        <v>26</v>
      </c>
      <c r="F87" s="5">
        <v>1001</v>
      </c>
      <c r="G87" s="5">
        <v>5000</v>
      </c>
      <c r="H87" s="5" t="s">
        <v>16</v>
      </c>
      <c r="I87" s="5" t="s">
        <v>7</v>
      </c>
      <c r="J87" s="6" t="s">
        <v>21</v>
      </c>
      <c r="K87" s="5"/>
      <c r="L87" s="6"/>
      <c r="M87" s="5"/>
      <c r="N87" s="5"/>
      <c r="O87" s="5"/>
      <c r="P87" s="5"/>
      <c r="Q87" s="6"/>
    </row>
    <row r="88" spans="2:17" x14ac:dyDescent="0.25">
      <c r="B88" s="4"/>
      <c r="C88" s="4"/>
      <c r="D88" s="4" t="s">
        <v>52</v>
      </c>
      <c r="E88" s="5"/>
      <c r="F88" s="5"/>
      <c r="G88" s="5"/>
      <c r="H88" s="8">
        <f>H86-900</f>
        <v>-1000</v>
      </c>
      <c r="I88" s="5">
        <f>IF(H88&gt;4000,4000,H88)</f>
        <v>-1000</v>
      </c>
      <c r="J88" s="6">
        <f>IF(I88&gt;0,I88*'National Rate Table'!E9,0)</f>
        <v>0</v>
      </c>
      <c r="K88" s="5"/>
      <c r="L88" s="6"/>
      <c r="M88" s="5"/>
      <c r="N88" s="5"/>
      <c r="O88" s="5"/>
      <c r="P88" s="5"/>
      <c r="Q88" s="6"/>
    </row>
    <row r="89" spans="2:17" x14ac:dyDescent="0.25">
      <c r="B89" s="4"/>
      <c r="C89" s="4"/>
      <c r="D89" s="4">
        <f>IF(J95=0,0,D87*1.2)</f>
        <v>0</v>
      </c>
      <c r="E89" s="5" t="s">
        <v>25</v>
      </c>
      <c r="F89" s="5">
        <v>5001</v>
      </c>
      <c r="G89" s="5">
        <v>10000</v>
      </c>
      <c r="H89" s="5" t="s">
        <v>20</v>
      </c>
      <c r="I89" s="5" t="s">
        <v>7</v>
      </c>
      <c r="J89" s="6" t="s">
        <v>22</v>
      </c>
      <c r="K89" s="5"/>
      <c r="L89" s="6"/>
      <c r="M89" s="5"/>
      <c r="N89" s="5"/>
      <c r="O89" s="5"/>
      <c r="P89" s="5"/>
      <c r="Q89" s="6"/>
    </row>
    <row r="90" spans="2:17" x14ac:dyDescent="0.25">
      <c r="B90" s="4"/>
      <c r="C90" s="4"/>
      <c r="D90" s="4" t="s">
        <v>54</v>
      </c>
      <c r="E90" s="5"/>
      <c r="F90" s="5"/>
      <c r="G90" s="5"/>
      <c r="H90" s="8">
        <f>H88-4000</f>
        <v>-5000</v>
      </c>
      <c r="I90" s="5">
        <f>IF(H90&gt;5000,5000,H90)</f>
        <v>-5000</v>
      </c>
      <c r="J90" s="6">
        <f>IF(I90&gt;0,I90*'National Rate Table'!E10, 0)</f>
        <v>0</v>
      </c>
      <c r="K90" s="5"/>
      <c r="L90" s="6"/>
      <c r="M90" s="5"/>
      <c r="N90" s="5"/>
      <c r="O90" s="5"/>
      <c r="P90" s="5"/>
      <c r="Q90" s="6"/>
    </row>
    <row r="91" spans="2:17" x14ac:dyDescent="0.25">
      <c r="B91" s="4"/>
      <c r="C91" s="4"/>
      <c r="D91" s="4">
        <f>D87</f>
        <v>150</v>
      </c>
      <c r="E91" s="5" t="s">
        <v>27</v>
      </c>
      <c r="F91" s="5">
        <v>10001</v>
      </c>
      <c r="G91" s="5">
        <v>15000</v>
      </c>
      <c r="H91" s="5" t="s">
        <v>28</v>
      </c>
      <c r="I91" s="5" t="s">
        <v>7</v>
      </c>
      <c r="J91" s="6" t="s">
        <v>29</v>
      </c>
      <c r="K91" s="5"/>
      <c r="L91" s="6"/>
      <c r="M91" s="5"/>
      <c r="N91" s="5"/>
      <c r="O91" s="5"/>
      <c r="P91" s="5"/>
      <c r="Q91" s="6"/>
    </row>
    <row r="92" spans="2:17" x14ac:dyDescent="0.25">
      <c r="B92" s="4"/>
      <c r="C92" s="4"/>
      <c r="D92" s="4"/>
      <c r="E92" s="5"/>
      <c r="F92" s="5"/>
      <c r="G92" s="5"/>
      <c r="H92" s="8">
        <f>H90-5000</f>
        <v>-10000</v>
      </c>
      <c r="I92" s="5">
        <f>IF(H92&gt;5000,5000,H92)</f>
        <v>-10000</v>
      </c>
      <c r="J92" s="6">
        <f>IF(I92&gt;0,I92*'National Rate Table'!E11,0)</f>
        <v>0</v>
      </c>
      <c r="K92" s="5"/>
      <c r="L92" s="6"/>
      <c r="M92" s="5"/>
      <c r="N92" s="5"/>
      <c r="O92" s="5"/>
      <c r="P92" s="5"/>
      <c r="Q92" s="6"/>
    </row>
    <row r="93" spans="2:17" x14ac:dyDescent="0.25">
      <c r="B93" s="4"/>
      <c r="C93" s="4"/>
      <c r="D93" s="4"/>
      <c r="E93" s="5" t="s">
        <v>15</v>
      </c>
      <c r="F93" s="5">
        <v>150000</v>
      </c>
      <c r="G93" s="5"/>
      <c r="H93" s="5" t="s">
        <v>30</v>
      </c>
      <c r="I93" s="5" t="s">
        <v>7</v>
      </c>
      <c r="J93" s="6" t="s">
        <v>31</v>
      </c>
      <c r="K93" s="5"/>
      <c r="L93" s="6"/>
      <c r="M93" s="5"/>
      <c r="N93" s="5"/>
      <c r="O93" s="5"/>
      <c r="P93" s="5"/>
      <c r="Q93" s="6"/>
    </row>
    <row r="94" spans="2:17" x14ac:dyDescent="0.25">
      <c r="B94" s="4"/>
      <c r="C94" s="4"/>
      <c r="D94" s="4"/>
      <c r="E94" s="5"/>
      <c r="F94" s="5"/>
      <c r="G94" s="5"/>
      <c r="H94" s="8">
        <f>H92-5000</f>
        <v>-15000</v>
      </c>
      <c r="I94" s="8">
        <f>H94</f>
        <v>-15000</v>
      </c>
      <c r="J94" s="6">
        <f>IF(I94&gt;0,I94*'National Rate Table'!E12,0)</f>
        <v>0</v>
      </c>
      <c r="K94" s="5"/>
      <c r="L94" s="6"/>
      <c r="M94" s="5"/>
      <c r="N94" s="5"/>
      <c r="O94" s="5"/>
      <c r="P94" s="5"/>
      <c r="Q94" s="6"/>
    </row>
    <row r="95" spans="2:17" x14ac:dyDescent="0.25">
      <c r="B95" s="4"/>
      <c r="C95" s="4"/>
      <c r="D95" s="9"/>
      <c r="E95" s="10"/>
      <c r="F95" s="10"/>
      <c r="G95" s="10"/>
      <c r="H95" s="11" t="s">
        <v>33</v>
      </c>
      <c r="I95" s="11">
        <f>SUM(I82:I94)</f>
        <v>-31150</v>
      </c>
      <c r="J95" s="12">
        <f>IF(D82&gt;0,((SUM(J82:J94))*0.7),0)</f>
        <v>0</v>
      </c>
      <c r="K95" s="5"/>
      <c r="L95" s="6"/>
      <c r="M95" s="5"/>
      <c r="N95" s="5"/>
      <c r="O95" s="5"/>
      <c r="P95" s="5"/>
      <c r="Q95" s="6"/>
    </row>
    <row r="96" spans="2:17" x14ac:dyDescent="0.25">
      <c r="B96" s="4"/>
      <c r="C96" s="4"/>
      <c r="D96" s="5"/>
      <c r="E96" s="5"/>
      <c r="F96" s="5"/>
      <c r="G96" s="5"/>
      <c r="H96" s="15"/>
      <c r="I96" s="15"/>
      <c r="J96" s="15"/>
      <c r="K96" s="5"/>
      <c r="L96" s="6"/>
      <c r="M96" s="5"/>
      <c r="N96" s="5"/>
      <c r="O96" s="5"/>
      <c r="P96" s="5"/>
      <c r="Q96" s="6"/>
    </row>
    <row r="97" spans="2:17" x14ac:dyDescent="0.25">
      <c r="B97" s="4"/>
      <c r="C97" s="4"/>
      <c r="D97" s="1" t="s">
        <v>148</v>
      </c>
      <c r="E97" s="2"/>
      <c r="F97" s="2"/>
      <c r="G97" s="2"/>
      <c r="H97" s="2"/>
      <c r="I97" s="2"/>
      <c r="J97" s="3"/>
      <c r="K97" s="5"/>
      <c r="L97" s="6"/>
      <c r="M97" s="5"/>
      <c r="N97" s="5"/>
      <c r="O97" s="5"/>
      <c r="P97" s="5"/>
      <c r="Q97" s="6"/>
    </row>
    <row r="98" spans="2:17" x14ac:dyDescent="0.25">
      <c r="B98" s="4"/>
      <c r="C98" s="4"/>
      <c r="D98" s="4"/>
      <c r="E98" s="5"/>
      <c r="F98" s="5" t="s">
        <v>62</v>
      </c>
      <c r="G98" s="5" t="s">
        <v>63</v>
      </c>
      <c r="H98" s="5"/>
      <c r="I98" s="5"/>
      <c r="J98" s="6"/>
      <c r="K98" s="5"/>
      <c r="L98" s="6"/>
      <c r="M98" s="5"/>
      <c r="N98" s="5"/>
      <c r="O98" s="5"/>
      <c r="P98" s="5"/>
      <c r="Q98" s="6"/>
    </row>
    <row r="99" spans="2:17" x14ac:dyDescent="0.25">
      <c r="B99" s="4"/>
      <c r="C99" s="4"/>
      <c r="D99" s="4" t="s">
        <v>0</v>
      </c>
      <c r="E99" s="5"/>
      <c r="F99" s="5">
        <v>0</v>
      </c>
      <c r="G99" s="5">
        <v>49</v>
      </c>
      <c r="H99" s="5" t="s">
        <v>1</v>
      </c>
      <c r="I99" s="5" t="s">
        <v>32</v>
      </c>
      <c r="J99" s="6" t="s">
        <v>3</v>
      </c>
      <c r="K99" s="5"/>
      <c r="L99" s="6"/>
      <c r="M99" s="5"/>
      <c r="N99" s="5"/>
      <c r="O99" s="5"/>
      <c r="P99" s="5"/>
      <c r="Q99" s="6"/>
    </row>
    <row r="100" spans="2:17" x14ac:dyDescent="0.25">
      <c r="B100" s="4"/>
      <c r="C100" s="4"/>
      <c r="D100" s="202">
        <f>'D, M, R &amp; W Rates'!T13</f>
        <v>0</v>
      </c>
      <c r="E100" s="5"/>
      <c r="F100" s="5"/>
      <c r="G100" s="5"/>
      <c r="H100" s="8">
        <f>ROUNDUP((D100/1000),0)</f>
        <v>0</v>
      </c>
      <c r="I100" s="8">
        <f>IF(H100&lt;50,H100,50)</f>
        <v>0</v>
      </c>
      <c r="J100" s="6">
        <f>IF(H100&gt;35,I100*'National Rate Table'!E6,150)</f>
        <v>150</v>
      </c>
      <c r="K100" s="5"/>
      <c r="L100" s="6"/>
      <c r="M100" s="5"/>
      <c r="N100" s="5"/>
      <c r="O100" s="5"/>
      <c r="P100" s="5"/>
      <c r="Q100" s="6"/>
    </row>
    <row r="101" spans="2:17" x14ac:dyDescent="0.25">
      <c r="B101" s="4"/>
      <c r="C101" s="4"/>
      <c r="D101" s="4"/>
      <c r="E101" s="5" t="s">
        <v>23</v>
      </c>
      <c r="F101" s="5">
        <v>50</v>
      </c>
      <c r="G101" s="5">
        <v>100</v>
      </c>
      <c r="H101" s="5" t="s">
        <v>2</v>
      </c>
      <c r="I101" s="5" t="s">
        <v>7</v>
      </c>
      <c r="J101" s="6" t="s">
        <v>8</v>
      </c>
      <c r="K101" s="5"/>
      <c r="L101" s="6"/>
      <c r="M101" s="5"/>
      <c r="N101" s="5"/>
      <c r="O101" s="5"/>
      <c r="P101" s="5"/>
      <c r="Q101" s="6"/>
    </row>
    <row r="102" spans="2:17" x14ac:dyDescent="0.25">
      <c r="B102" s="4"/>
      <c r="C102" s="4"/>
      <c r="D102" s="4"/>
      <c r="E102" s="5"/>
      <c r="F102" s="5"/>
      <c r="G102" s="5"/>
      <c r="H102" s="8">
        <f>H100-50</f>
        <v>-50</v>
      </c>
      <c r="I102" s="8">
        <f>IF(H102&gt;50,50,H102)</f>
        <v>-50</v>
      </c>
      <c r="J102" s="6">
        <f>IF(I102&gt;0,I102*'National Rate Table'!E7,0)</f>
        <v>0</v>
      </c>
      <c r="K102" s="5"/>
      <c r="L102" s="6"/>
      <c r="M102" s="5"/>
      <c r="N102" s="5"/>
      <c r="O102" s="5"/>
      <c r="P102" s="5"/>
      <c r="Q102" s="6"/>
    </row>
    <row r="103" spans="2:17" x14ac:dyDescent="0.25">
      <c r="B103" s="4"/>
      <c r="C103" s="4"/>
      <c r="D103" s="4"/>
      <c r="E103" s="5" t="s">
        <v>24</v>
      </c>
      <c r="F103" s="5">
        <v>101</v>
      </c>
      <c r="G103" s="5">
        <v>1000</v>
      </c>
      <c r="H103" s="5" t="s">
        <v>9</v>
      </c>
      <c r="I103" s="5" t="s">
        <v>7</v>
      </c>
      <c r="J103" s="6" t="s">
        <v>10</v>
      </c>
      <c r="K103" s="5"/>
      <c r="L103" s="6"/>
      <c r="M103" s="5"/>
      <c r="N103" s="5"/>
      <c r="O103" s="5"/>
      <c r="P103" s="5"/>
      <c r="Q103" s="6"/>
    </row>
    <row r="104" spans="2:17" x14ac:dyDescent="0.25">
      <c r="B104" s="4"/>
      <c r="C104" s="4"/>
      <c r="D104" s="4" t="s">
        <v>53</v>
      </c>
      <c r="E104" s="5"/>
      <c r="F104" s="5"/>
      <c r="G104" s="5"/>
      <c r="H104" s="8">
        <f>H102-50</f>
        <v>-100</v>
      </c>
      <c r="I104" s="5">
        <f>IF(H104&gt;900,900,H104)</f>
        <v>-100</v>
      </c>
      <c r="J104" s="6">
        <f>IF(I104&gt;0,I104*'National Rate Table'!E8,0)</f>
        <v>0</v>
      </c>
      <c r="K104" s="5"/>
      <c r="L104" s="6"/>
      <c r="M104" s="5"/>
      <c r="N104" s="5"/>
      <c r="O104" s="5"/>
      <c r="P104" s="5"/>
      <c r="Q104" s="6"/>
    </row>
    <row r="105" spans="2:17" x14ac:dyDescent="0.25">
      <c r="B105" s="4"/>
      <c r="C105" s="4"/>
      <c r="D105" s="4">
        <f>IF(J113&lt;150,150,J113)</f>
        <v>150</v>
      </c>
      <c r="E105" s="5" t="s">
        <v>26</v>
      </c>
      <c r="F105" s="5">
        <v>1001</v>
      </c>
      <c r="G105" s="5">
        <v>5000</v>
      </c>
      <c r="H105" s="5" t="s">
        <v>16</v>
      </c>
      <c r="I105" s="5" t="s">
        <v>7</v>
      </c>
      <c r="J105" s="6" t="s">
        <v>21</v>
      </c>
      <c r="K105" s="5"/>
      <c r="L105" s="6"/>
      <c r="M105" s="5"/>
      <c r="N105" s="5"/>
      <c r="O105" s="5"/>
      <c r="P105" s="5"/>
      <c r="Q105" s="6"/>
    </row>
    <row r="106" spans="2:17" x14ac:dyDescent="0.25">
      <c r="B106" s="4"/>
      <c r="C106" s="4"/>
      <c r="D106" s="4" t="s">
        <v>52</v>
      </c>
      <c r="E106" s="5"/>
      <c r="F106" s="5"/>
      <c r="G106" s="5"/>
      <c r="H106" s="8">
        <f>H104-900</f>
        <v>-1000</v>
      </c>
      <c r="I106" s="5">
        <f>IF(H106&gt;4000,4000,H106)</f>
        <v>-1000</v>
      </c>
      <c r="J106" s="6">
        <f>IF(I106&gt;0,I106*'National Rate Table'!E9,0)</f>
        <v>0</v>
      </c>
      <c r="K106" s="5"/>
      <c r="L106" s="6"/>
      <c r="M106" s="5"/>
      <c r="N106" s="5"/>
      <c r="O106" s="5"/>
      <c r="P106" s="5"/>
      <c r="Q106" s="6"/>
    </row>
    <row r="107" spans="2:17" x14ac:dyDescent="0.25">
      <c r="B107" s="4"/>
      <c r="C107" s="4"/>
      <c r="D107" s="4">
        <f>IF(J113=0,0,D105*1.2)</f>
        <v>0</v>
      </c>
      <c r="E107" s="5" t="s">
        <v>25</v>
      </c>
      <c r="F107" s="5">
        <v>5001</v>
      </c>
      <c r="G107" s="5">
        <v>10000</v>
      </c>
      <c r="H107" s="5" t="s">
        <v>20</v>
      </c>
      <c r="I107" s="5" t="s">
        <v>7</v>
      </c>
      <c r="J107" s="6" t="s">
        <v>22</v>
      </c>
      <c r="K107" s="5"/>
      <c r="L107" s="6"/>
      <c r="M107" s="5"/>
      <c r="N107" s="5"/>
      <c r="O107" s="5"/>
      <c r="P107" s="5"/>
      <c r="Q107" s="6"/>
    </row>
    <row r="108" spans="2:17" x14ac:dyDescent="0.25">
      <c r="B108" s="4"/>
      <c r="C108" s="4"/>
      <c r="D108" s="4" t="s">
        <v>54</v>
      </c>
      <c r="E108" s="5"/>
      <c r="F108" s="5"/>
      <c r="G108" s="5"/>
      <c r="H108" s="8">
        <f>H106-4000</f>
        <v>-5000</v>
      </c>
      <c r="I108" s="5">
        <f>IF(H108&gt;5000,5000,H108)</f>
        <v>-5000</v>
      </c>
      <c r="J108" s="6">
        <f>IF(I108&gt;0,I108*'National Rate Table'!E10, 0)</f>
        <v>0</v>
      </c>
      <c r="K108" s="5"/>
      <c r="L108" s="6"/>
      <c r="M108" s="5"/>
      <c r="N108" s="5"/>
      <c r="O108" s="5"/>
      <c r="P108" s="5"/>
      <c r="Q108" s="6"/>
    </row>
    <row r="109" spans="2:17" x14ac:dyDescent="0.25">
      <c r="B109" s="4"/>
      <c r="C109" s="4"/>
      <c r="D109" s="4">
        <f>D105</f>
        <v>150</v>
      </c>
      <c r="E109" s="5" t="s">
        <v>27</v>
      </c>
      <c r="F109" s="5">
        <v>10001</v>
      </c>
      <c r="G109" s="5">
        <v>15000</v>
      </c>
      <c r="H109" s="5" t="s">
        <v>28</v>
      </c>
      <c r="I109" s="5" t="s">
        <v>7</v>
      </c>
      <c r="J109" s="6" t="s">
        <v>29</v>
      </c>
      <c r="K109" s="5"/>
      <c r="L109" s="6"/>
      <c r="M109" s="5"/>
      <c r="N109" s="5"/>
      <c r="O109" s="5"/>
      <c r="P109" s="5"/>
      <c r="Q109" s="6"/>
    </row>
    <row r="110" spans="2:17" x14ac:dyDescent="0.25">
      <c r="B110" s="4"/>
      <c r="C110" s="4"/>
      <c r="D110" s="4"/>
      <c r="E110" s="5"/>
      <c r="F110" s="5"/>
      <c r="G110" s="5"/>
      <c r="H110" s="8">
        <f>H108-5000</f>
        <v>-10000</v>
      </c>
      <c r="I110" s="5">
        <f>IF(H110&gt;5000,5000,H110)</f>
        <v>-10000</v>
      </c>
      <c r="J110" s="6">
        <f>IF(I110&gt;0,I110*'National Rate Table'!E11,0)</f>
        <v>0</v>
      </c>
      <c r="K110" s="5"/>
      <c r="L110" s="6"/>
      <c r="M110" s="5"/>
      <c r="N110" s="5"/>
      <c r="O110" s="5"/>
      <c r="P110" s="5"/>
      <c r="Q110" s="6"/>
    </row>
    <row r="111" spans="2:17" x14ac:dyDescent="0.25">
      <c r="B111" s="4"/>
      <c r="C111" s="4"/>
      <c r="D111" s="4"/>
      <c r="E111" s="5" t="s">
        <v>15</v>
      </c>
      <c r="F111" s="5">
        <v>150000</v>
      </c>
      <c r="G111" s="5"/>
      <c r="H111" s="5" t="s">
        <v>30</v>
      </c>
      <c r="I111" s="5" t="s">
        <v>7</v>
      </c>
      <c r="J111" s="6" t="s">
        <v>31</v>
      </c>
      <c r="K111" s="5"/>
      <c r="L111" s="6"/>
      <c r="M111" s="5"/>
      <c r="N111" s="5"/>
      <c r="O111" s="5"/>
      <c r="P111" s="5"/>
      <c r="Q111" s="6"/>
    </row>
    <row r="112" spans="2:17" x14ac:dyDescent="0.25">
      <c r="B112" s="4"/>
      <c r="C112" s="4"/>
      <c r="D112" s="4"/>
      <c r="E112" s="5"/>
      <c r="F112" s="5"/>
      <c r="G112" s="5"/>
      <c r="H112" s="8">
        <f>H110-5000</f>
        <v>-15000</v>
      </c>
      <c r="I112" s="8">
        <f>H112</f>
        <v>-15000</v>
      </c>
      <c r="J112" s="6">
        <f>IF(I112&gt;0,I112*'National Rate Table'!E12,0)</f>
        <v>0</v>
      </c>
      <c r="K112" s="5"/>
      <c r="L112" s="6"/>
      <c r="M112" s="5"/>
      <c r="N112" s="5"/>
      <c r="O112" s="5"/>
      <c r="P112" s="5"/>
      <c r="Q112" s="6"/>
    </row>
    <row r="113" spans="2:17" x14ac:dyDescent="0.25">
      <c r="B113" s="4"/>
      <c r="C113" s="4"/>
      <c r="D113" s="9"/>
      <c r="E113" s="10"/>
      <c r="F113" s="10"/>
      <c r="G113" s="10"/>
      <c r="H113" s="11" t="s">
        <v>33</v>
      </c>
      <c r="I113" s="11">
        <f>SUM(I100:I112)</f>
        <v>-31150</v>
      </c>
      <c r="J113" s="12">
        <f>IF(D100&gt;0,((SUM(J100:J112))),0)</f>
        <v>0</v>
      </c>
      <c r="K113" s="5"/>
      <c r="L113" s="6"/>
      <c r="M113" s="5"/>
      <c r="N113" s="5"/>
      <c r="O113" s="5"/>
      <c r="P113" s="5"/>
      <c r="Q113" s="6"/>
    </row>
    <row r="114" spans="2:17" x14ac:dyDescent="0.25">
      <c r="B114" s="4"/>
      <c r="C114" s="4"/>
      <c r="D114" s="5"/>
      <c r="E114" s="5"/>
      <c r="F114" s="5"/>
      <c r="G114" s="5"/>
      <c r="H114" s="15"/>
      <c r="I114" s="15"/>
      <c r="J114" s="15"/>
      <c r="K114" s="5"/>
      <c r="L114" s="6"/>
      <c r="M114" s="5"/>
      <c r="N114" s="5"/>
      <c r="O114" s="5"/>
      <c r="P114" s="5"/>
      <c r="Q114" s="6"/>
    </row>
    <row r="115" spans="2:17" x14ac:dyDescent="0.25">
      <c r="B115" s="4"/>
      <c r="C115" s="4"/>
      <c r="D115" s="5"/>
      <c r="E115" s="5"/>
      <c r="F115" s="5"/>
      <c r="G115" s="5"/>
      <c r="H115" s="15"/>
      <c r="I115" s="15"/>
      <c r="J115" s="15"/>
      <c r="K115" s="5"/>
      <c r="L115" s="6"/>
      <c r="M115" s="5"/>
      <c r="N115" s="5"/>
      <c r="O115" s="5"/>
      <c r="P115" s="5"/>
      <c r="Q115" s="6"/>
    </row>
    <row r="116" spans="2:17" x14ac:dyDescent="0.25">
      <c r="B116" s="4"/>
      <c r="C116" s="4"/>
      <c r="D116" s="5"/>
      <c r="E116" s="5"/>
      <c r="F116" s="5"/>
      <c r="G116" s="5"/>
      <c r="H116" s="15"/>
      <c r="I116" s="15"/>
      <c r="J116" s="15"/>
      <c r="K116" s="5"/>
      <c r="L116" s="6"/>
      <c r="M116" s="5"/>
      <c r="N116" s="5"/>
      <c r="O116" s="5"/>
      <c r="P116" s="5"/>
      <c r="Q116" s="6"/>
    </row>
    <row r="117" spans="2:17" x14ac:dyDescent="0.25">
      <c r="B117" s="4"/>
      <c r="C117" s="4"/>
      <c r="D117" s="5"/>
      <c r="E117" s="5"/>
      <c r="F117" s="5"/>
      <c r="G117" s="5"/>
      <c r="H117" s="15"/>
      <c r="I117" s="15"/>
      <c r="J117" s="15"/>
      <c r="K117" s="5"/>
      <c r="L117" s="6"/>
      <c r="M117" s="5"/>
      <c r="N117" s="5"/>
      <c r="O117" s="5"/>
      <c r="P117" s="5"/>
      <c r="Q117" s="6"/>
    </row>
    <row r="118" spans="2:17" x14ac:dyDescent="0.25">
      <c r="B118" s="4"/>
      <c r="C118" s="4"/>
      <c r="D118" s="5"/>
      <c r="E118" s="5"/>
      <c r="F118" s="5"/>
      <c r="G118" s="5"/>
      <c r="H118" s="5"/>
      <c r="I118" s="5"/>
      <c r="J118" s="5"/>
      <c r="K118" s="5"/>
      <c r="L118" s="6"/>
      <c r="M118" s="5"/>
      <c r="N118" s="5"/>
      <c r="O118" s="5"/>
      <c r="P118" s="5"/>
      <c r="Q118" s="6"/>
    </row>
    <row r="119" spans="2:17" x14ac:dyDescent="0.25">
      <c r="B119" s="4"/>
      <c r="C119" s="4"/>
      <c r="D119" s="13" t="s">
        <v>75</v>
      </c>
      <c r="E119" s="2"/>
      <c r="F119" s="2"/>
      <c r="G119" s="2"/>
      <c r="H119" s="2"/>
      <c r="I119" s="2"/>
      <c r="J119" s="2"/>
      <c r="K119" s="3"/>
      <c r="L119" s="6"/>
      <c r="M119" s="5"/>
      <c r="N119" s="5"/>
      <c r="O119" s="5"/>
      <c r="P119" s="5"/>
      <c r="Q119" s="6"/>
    </row>
    <row r="120" spans="2:17" x14ac:dyDescent="0.25">
      <c r="B120" s="4"/>
      <c r="C120" s="4"/>
      <c r="D120" s="4"/>
      <c r="E120" s="5"/>
      <c r="F120" s="5" t="s">
        <v>62</v>
      </c>
      <c r="G120" s="5" t="s">
        <v>63</v>
      </c>
      <c r="H120" s="5"/>
      <c r="I120" s="5"/>
      <c r="J120" s="5"/>
      <c r="K120" s="6"/>
      <c r="L120" s="6"/>
      <c r="M120" s="5"/>
      <c r="N120" s="5"/>
      <c r="O120" s="5"/>
      <c r="P120" s="5"/>
      <c r="Q120" s="6"/>
    </row>
    <row r="121" spans="2:17" x14ac:dyDescent="0.25">
      <c r="B121" s="4"/>
      <c r="C121" s="4"/>
      <c r="D121" s="4" t="s">
        <v>0</v>
      </c>
      <c r="E121" s="5"/>
      <c r="F121" s="5">
        <v>0</v>
      </c>
      <c r="G121" s="5">
        <v>49</v>
      </c>
      <c r="H121" s="5" t="s">
        <v>1</v>
      </c>
      <c r="I121" s="5" t="s">
        <v>32</v>
      </c>
      <c r="J121" s="5" t="s">
        <v>3</v>
      </c>
      <c r="K121" s="19" t="s">
        <v>76</v>
      </c>
      <c r="L121" s="6"/>
      <c r="M121" s="5"/>
      <c r="N121" s="5"/>
      <c r="O121" s="5"/>
      <c r="P121" s="5"/>
      <c r="Q121" s="6"/>
    </row>
    <row r="122" spans="2:17" x14ac:dyDescent="0.25">
      <c r="B122" s="4"/>
      <c r="C122" s="4"/>
      <c r="D122" s="7">
        <f>IF('D, M, R &amp; W Rates'!T15&gt;'D, M, R &amp; W Rates'!T14,'D, M, R &amp; W Rates'!T14,'D, M, R &amp; W Rates'!T15)</f>
        <v>0</v>
      </c>
      <c r="E122" s="5"/>
      <c r="F122" s="5"/>
      <c r="G122" s="5"/>
      <c r="H122" s="8">
        <f>ROUNDUP((D122/1000),0)</f>
        <v>0</v>
      </c>
      <c r="I122" s="5">
        <f>IF(H122&lt;50,H122,50)</f>
        <v>0</v>
      </c>
      <c r="J122" s="5">
        <f>IF(H122&gt;35,I122*'National Rate Table'!E6,0)</f>
        <v>0</v>
      </c>
      <c r="K122" s="6">
        <f>J122*1.2</f>
        <v>0</v>
      </c>
      <c r="L122" s="6"/>
      <c r="M122" s="5"/>
      <c r="N122" s="5"/>
      <c r="O122" s="5"/>
      <c r="P122" s="5"/>
      <c r="Q122" s="6"/>
    </row>
    <row r="123" spans="2:17" x14ac:dyDescent="0.25">
      <c r="B123" s="4"/>
      <c r="C123" s="4"/>
      <c r="D123" s="4"/>
      <c r="E123" s="5" t="s">
        <v>23</v>
      </c>
      <c r="F123" s="5">
        <v>50</v>
      </c>
      <c r="G123" s="5">
        <v>100</v>
      </c>
      <c r="H123" s="5" t="s">
        <v>2</v>
      </c>
      <c r="I123" s="5" t="s">
        <v>7</v>
      </c>
      <c r="J123" s="5" t="s">
        <v>8</v>
      </c>
      <c r="K123" s="6"/>
      <c r="L123" s="6"/>
      <c r="M123" s="5"/>
      <c r="N123" s="5"/>
      <c r="O123" s="5"/>
      <c r="P123" s="5"/>
      <c r="Q123" s="6"/>
    </row>
    <row r="124" spans="2:17" x14ac:dyDescent="0.25">
      <c r="B124" s="4"/>
      <c r="C124" s="4"/>
      <c r="D124" s="4"/>
      <c r="E124" s="5"/>
      <c r="F124" s="5"/>
      <c r="G124" s="5"/>
      <c r="H124" s="8">
        <f>H122-50</f>
        <v>-50</v>
      </c>
      <c r="I124" s="8">
        <f>IF(H124&gt;50,50,H124)</f>
        <v>-50</v>
      </c>
      <c r="J124" s="5">
        <f>IF(I124&gt;0,I124*'National Rate Table'!E7,0)</f>
        <v>0</v>
      </c>
      <c r="K124" s="6">
        <f>J124*1.2</f>
        <v>0</v>
      </c>
      <c r="L124" s="6"/>
      <c r="M124" s="5"/>
      <c r="N124" s="5"/>
      <c r="O124" s="5"/>
      <c r="P124" s="5"/>
      <c r="Q124" s="6"/>
    </row>
    <row r="125" spans="2:17" x14ac:dyDescent="0.25">
      <c r="B125" s="4"/>
      <c r="C125" s="4"/>
      <c r="D125" s="4"/>
      <c r="E125" s="5" t="s">
        <v>24</v>
      </c>
      <c r="F125" s="5">
        <v>101</v>
      </c>
      <c r="G125" s="5">
        <v>1000</v>
      </c>
      <c r="H125" s="5" t="s">
        <v>9</v>
      </c>
      <c r="I125" s="5" t="s">
        <v>7</v>
      </c>
      <c r="J125" s="5" t="s">
        <v>10</v>
      </c>
      <c r="K125" s="6"/>
      <c r="L125" s="6"/>
      <c r="M125" s="5"/>
      <c r="N125" s="5"/>
      <c r="O125" s="5"/>
      <c r="P125" s="5"/>
      <c r="Q125" s="6"/>
    </row>
    <row r="126" spans="2:17" x14ac:dyDescent="0.25">
      <c r="B126" s="4"/>
      <c r="C126" s="4"/>
      <c r="D126" s="4"/>
      <c r="E126" s="5"/>
      <c r="F126" s="5"/>
      <c r="G126" s="5"/>
      <c r="H126" s="8">
        <f>H124-50</f>
        <v>-100</v>
      </c>
      <c r="I126" s="5">
        <f>IF(H126&gt;900,900,H126)</f>
        <v>-100</v>
      </c>
      <c r="J126" s="5">
        <f>IF(I126&gt;0,I126*'National Rate Table'!E8,0)</f>
        <v>0</v>
      </c>
      <c r="K126" s="6">
        <f>J126*1.2</f>
        <v>0</v>
      </c>
      <c r="L126" s="6"/>
      <c r="M126" s="5"/>
      <c r="N126" s="5"/>
      <c r="O126" s="5"/>
      <c r="P126" s="5"/>
      <c r="Q126" s="6"/>
    </row>
    <row r="127" spans="2:17" x14ac:dyDescent="0.25">
      <c r="B127" s="4"/>
      <c r="C127" s="4"/>
      <c r="D127" s="4"/>
      <c r="E127" s="5" t="s">
        <v>26</v>
      </c>
      <c r="F127" s="5">
        <v>1001</v>
      </c>
      <c r="G127" s="5">
        <v>5000</v>
      </c>
      <c r="H127" s="5" t="s">
        <v>16</v>
      </c>
      <c r="I127" s="5" t="s">
        <v>7</v>
      </c>
      <c r="J127" s="5" t="s">
        <v>21</v>
      </c>
      <c r="K127" s="6"/>
      <c r="L127" s="6"/>
      <c r="M127" s="5"/>
      <c r="N127" s="5"/>
      <c r="O127" s="5"/>
      <c r="P127" s="5"/>
      <c r="Q127" s="6"/>
    </row>
    <row r="128" spans="2:17" x14ac:dyDescent="0.25">
      <c r="B128" s="4"/>
      <c r="C128" s="4"/>
      <c r="D128" s="4"/>
      <c r="E128" s="5"/>
      <c r="F128" s="5"/>
      <c r="G128" s="5"/>
      <c r="H128" s="8">
        <f>H126-900</f>
        <v>-1000</v>
      </c>
      <c r="I128" s="5">
        <f>IF(H128&gt;4000,4000,H128)</f>
        <v>-1000</v>
      </c>
      <c r="J128" s="5">
        <f>IF(I128&gt;0,I128*'National Rate Table'!E9,0)</f>
        <v>0</v>
      </c>
      <c r="K128" s="6">
        <f>J128*1.2</f>
        <v>0</v>
      </c>
      <c r="L128" s="6"/>
      <c r="M128" s="5"/>
      <c r="N128" s="5"/>
      <c r="O128" s="5"/>
      <c r="P128" s="5"/>
      <c r="Q128" s="6"/>
    </row>
    <row r="129" spans="2:17" x14ac:dyDescent="0.25">
      <c r="B129" s="4"/>
      <c r="C129" s="4"/>
      <c r="D129" s="4"/>
      <c r="E129" s="5" t="s">
        <v>25</v>
      </c>
      <c r="F129" s="5">
        <v>5001</v>
      </c>
      <c r="G129" s="5">
        <v>10000</v>
      </c>
      <c r="H129" s="5" t="s">
        <v>20</v>
      </c>
      <c r="I129" s="5" t="s">
        <v>7</v>
      </c>
      <c r="J129" s="5" t="s">
        <v>22</v>
      </c>
      <c r="K129" s="6"/>
      <c r="L129" s="6"/>
      <c r="M129" s="5"/>
      <c r="N129" s="5"/>
      <c r="O129" s="5"/>
      <c r="P129" s="5"/>
      <c r="Q129" s="6"/>
    </row>
    <row r="130" spans="2:17" x14ac:dyDescent="0.25">
      <c r="B130" s="4"/>
      <c r="C130" s="4"/>
      <c r="D130" s="4"/>
      <c r="E130" s="5"/>
      <c r="F130" s="5"/>
      <c r="G130" s="5"/>
      <c r="H130" s="8">
        <f>H128-4000</f>
        <v>-5000</v>
      </c>
      <c r="I130" s="5">
        <f>IF(H130&gt;5000,5000,H130)</f>
        <v>-5000</v>
      </c>
      <c r="J130" s="5">
        <f>IF(I130&gt;0,I130*'National Rate Table'!E10, 0)</f>
        <v>0</v>
      </c>
      <c r="K130" s="6">
        <f>J130*1.2</f>
        <v>0</v>
      </c>
      <c r="L130" s="6"/>
      <c r="M130" s="5"/>
      <c r="N130" s="5"/>
      <c r="O130" s="5"/>
      <c r="P130" s="5"/>
      <c r="Q130" s="6"/>
    </row>
    <row r="131" spans="2:17" x14ac:dyDescent="0.25">
      <c r="B131" s="4"/>
      <c r="C131" s="4"/>
      <c r="D131" s="4"/>
      <c r="E131" s="5" t="s">
        <v>27</v>
      </c>
      <c r="F131" s="5">
        <v>10001</v>
      </c>
      <c r="G131" s="5">
        <v>15000</v>
      </c>
      <c r="H131" s="5" t="s">
        <v>28</v>
      </c>
      <c r="I131" s="5" t="s">
        <v>7</v>
      </c>
      <c r="J131" s="5" t="s">
        <v>29</v>
      </c>
      <c r="K131" s="6"/>
      <c r="L131" s="6"/>
      <c r="M131" s="5"/>
      <c r="N131" s="5"/>
      <c r="O131" s="5"/>
      <c r="P131" s="5"/>
      <c r="Q131" s="6"/>
    </row>
    <row r="132" spans="2:17" x14ac:dyDescent="0.25">
      <c r="B132" s="4"/>
      <c r="C132" s="4"/>
      <c r="D132" s="4"/>
      <c r="E132" s="5"/>
      <c r="F132" s="5"/>
      <c r="G132" s="5"/>
      <c r="H132" s="8">
        <f>H130-5000</f>
        <v>-10000</v>
      </c>
      <c r="I132" s="5">
        <f>IF(H132&gt;5000,5000,H132)</f>
        <v>-10000</v>
      </c>
      <c r="J132" s="5">
        <f>IF(I132&gt;0,I132*'National Rate Table'!E11,0)</f>
        <v>0</v>
      </c>
      <c r="K132" s="6">
        <f>J132*1.2</f>
        <v>0</v>
      </c>
      <c r="L132" s="6"/>
      <c r="M132" s="5"/>
      <c r="N132" s="5"/>
      <c r="O132" s="5"/>
      <c r="P132" s="5"/>
      <c r="Q132" s="6"/>
    </row>
    <row r="133" spans="2:17" x14ac:dyDescent="0.25">
      <c r="B133" s="4"/>
      <c r="C133" s="4"/>
      <c r="D133" s="4"/>
      <c r="E133" s="5" t="s">
        <v>15</v>
      </c>
      <c r="F133" s="5">
        <v>15001</v>
      </c>
      <c r="G133" s="5"/>
      <c r="H133" s="5" t="s">
        <v>30</v>
      </c>
      <c r="I133" s="5" t="s">
        <v>7</v>
      </c>
      <c r="J133" s="5" t="s">
        <v>31</v>
      </c>
      <c r="K133" s="6"/>
      <c r="L133" s="6"/>
      <c r="M133" s="5"/>
      <c r="N133" s="5"/>
      <c r="O133" s="5"/>
      <c r="P133" s="5"/>
      <c r="Q133" s="6"/>
    </row>
    <row r="134" spans="2:17" x14ac:dyDescent="0.25">
      <c r="B134" s="4"/>
      <c r="C134" s="4"/>
      <c r="D134" s="4"/>
      <c r="E134" s="5"/>
      <c r="F134" s="5"/>
      <c r="G134" s="5"/>
      <c r="H134" s="8">
        <f>H132-5000</f>
        <v>-15000</v>
      </c>
      <c r="I134" s="8">
        <f>H134</f>
        <v>-15000</v>
      </c>
      <c r="J134" s="5">
        <f>IF(I134&gt;0,I134*'National Rate Table'!E12,0)</f>
        <v>0</v>
      </c>
      <c r="K134" s="6">
        <f>J134*1.2</f>
        <v>0</v>
      </c>
      <c r="L134" s="6"/>
      <c r="M134" s="5"/>
      <c r="N134" s="5"/>
      <c r="O134" s="5"/>
      <c r="P134" s="5"/>
      <c r="Q134" s="6"/>
    </row>
    <row r="135" spans="2:17" x14ac:dyDescent="0.25">
      <c r="B135" s="4"/>
      <c r="C135" s="4"/>
      <c r="D135" s="4"/>
      <c r="E135" s="5"/>
      <c r="F135" s="5"/>
      <c r="G135" s="5"/>
      <c r="H135" s="15" t="s">
        <v>33</v>
      </c>
      <c r="I135" s="15">
        <f>SUM(I122:I134)</f>
        <v>-31150</v>
      </c>
      <c r="J135" s="15">
        <f>SUM(J122:J134)</f>
        <v>0</v>
      </c>
      <c r="K135" s="16">
        <f>SUM(K122:K134)</f>
        <v>0</v>
      </c>
      <c r="L135" s="6"/>
      <c r="M135" s="5"/>
      <c r="N135" s="5"/>
      <c r="O135" s="5"/>
      <c r="P135" s="5"/>
      <c r="Q135" s="6"/>
    </row>
    <row r="136" spans="2:17" x14ac:dyDescent="0.25">
      <c r="B136" s="4"/>
      <c r="C136" s="4"/>
      <c r="D136" s="9"/>
      <c r="E136" s="10"/>
      <c r="F136" s="10"/>
      <c r="G136" s="10"/>
      <c r="H136" s="11" t="s">
        <v>74</v>
      </c>
      <c r="I136" s="10"/>
      <c r="J136" s="11">
        <f>J135*0.3</f>
        <v>0</v>
      </c>
      <c r="K136" s="12">
        <f>0.3*K135</f>
        <v>0</v>
      </c>
      <c r="L136" s="6"/>
      <c r="M136" s="5"/>
      <c r="N136" s="5"/>
      <c r="O136" s="5"/>
      <c r="P136" s="5"/>
      <c r="Q136" s="6"/>
    </row>
    <row r="137" spans="2:17" x14ac:dyDescent="0.25">
      <c r="B137" s="4"/>
      <c r="C137" s="4"/>
      <c r="D137" s="5"/>
      <c r="E137" s="5"/>
      <c r="F137" s="5"/>
      <c r="G137" s="5"/>
      <c r="H137" s="5"/>
      <c r="I137" s="5"/>
      <c r="J137" s="5"/>
      <c r="K137" s="5"/>
      <c r="L137" s="6"/>
      <c r="M137" s="5"/>
      <c r="N137" s="5"/>
      <c r="O137" s="5"/>
      <c r="P137" s="5"/>
      <c r="Q137" s="6"/>
    </row>
    <row r="138" spans="2:17" x14ac:dyDescent="0.25">
      <c r="B138" s="4"/>
      <c r="C138" s="4"/>
      <c r="D138" s="5"/>
      <c r="E138" s="5"/>
      <c r="F138" s="5"/>
      <c r="G138" s="5"/>
      <c r="H138" s="5"/>
      <c r="I138" s="5"/>
      <c r="J138" s="5"/>
      <c r="K138" s="5"/>
      <c r="L138" s="6"/>
      <c r="M138" s="5"/>
      <c r="N138" s="5"/>
      <c r="O138" s="5"/>
      <c r="P138" s="5"/>
      <c r="Q138" s="6"/>
    </row>
    <row r="139" spans="2:17" x14ac:dyDescent="0.25">
      <c r="B139" s="4"/>
      <c r="C139" s="9"/>
      <c r="D139" s="1" t="s">
        <v>84</v>
      </c>
      <c r="E139" s="2"/>
      <c r="F139" s="2"/>
      <c r="G139" s="2"/>
      <c r="H139" s="2"/>
      <c r="I139" s="2"/>
      <c r="J139" s="3"/>
      <c r="K139" s="5"/>
      <c r="L139" s="20"/>
      <c r="M139" s="5"/>
      <c r="N139" s="5"/>
      <c r="O139" s="5"/>
      <c r="P139" s="5"/>
      <c r="Q139" s="6"/>
    </row>
    <row r="140" spans="2:17" x14ac:dyDescent="0.25">
      <c r="B140" s="9"/>
      <c r="C140" s="10"/>
      <c r="D140" s="4"/>
      <c r="E140" s="5"/>
      <c r="F140" s="5" t="s">
        <v>62</v>
      </c>
      <c r="G140" s="5" t="s">
        <v>63</v>
      </c>
      <c r="H140" s="5"/>
      <c r="I140" s="5"/>
      <c r="J140" s="6"/>
      <c r="K140" s="5"/>
      <c r="L140" s="10"/>
      <c r="M140" s="10"/>
      <c r="N140" s="10"/>
      <c r="O140" s="10"/>
      <c r="P140" s="10"/>
      <c r="Q140" s="20"/>
    </row>
    <row r="141" spans="2:17" s="23" customFormat="1" x14ac:dyDescent="0.25">
      <c r="D141" s="4" t="s">
        <v>0</v>
      </c>
      <c r="E141" s="5"/>
      <c r="F141" s="5">
        <v>0</v>
      </c>
      <c r="G141" s="5">
        <v>49</v>
      </c>
      <c r="H141" s="5" t="s">
        <v>1</v>
      </c>
      <c r="I141" s="5" t="s">
        <v>32</v>
      </c>
      <c r="J141" s="6" t="s">
        <v>3</v>
      </c>
      <c r="K141" s="5"/>
    </row>
    <row r="142" spans="2:17" x14ac:dyDescent="0.25">
      <c r="D142" s="7">
        <f>'D, M, R &amp; W Rates'!T17</f>
        <v>0</v>
      </c>
      <c r="E142" s="5"/>
      <c r="F142" s="5"/>
      <c r="G142" s="5"/>
      <c r="H142" s="8">
        <f>ROUNDUP((D142/1000),0)</f>
        <v>0</v>
      </c>
      <c r="I142" s="8">
        <f>IF(H142&lt;50,H142,50)</f>
        <v>0</v>
      </c>
      <c r="J142" s="6">
        <f>IF(H142&gt;35,I142*'National Rate Table'!E6,150)</f>
        <v>150</v>
      </c>
      <c r="K142" s="5"/>
    </row>
    <row r="143" spans="2:17" x14ac:dyDescent="0.25">
      <c r="D143" s="4"/>
      <c r="E143" s="5" t="s">
        <v>23</v>
      </c>
      <c r="F143" s="5">
        <v>50</v>
      </c>
      <c r="G143" s="5">
        <v>100</v>
      </c>
      <c r="H143" s="5" t="s">
        <v>2</v>
      </c>
      <c r="I143" s="5" t="s">
        <v>7</v>
      </c>
      <c r="J143" s="6" t="s">
        <v>8</v>
      </c>
      <c r="K143" s="5"/>
    </row>
    <row r="144" spans="2:17" x14ac:dyDescent="0.25">
      <c r="D144" s="4"/>
      <c r="E144" s="5"/>
      <c r="F144" s="5"/>
      <c r="G144" s="5"/>
      <c r="H144" s="8">
        <f>H142-50</f>
        <v>-50</v>
      </c>
      <c r="I144" s="8">
        <f>IF(H144&gt;50,50,H144)</f>
        <v>-50</v>
      </c>
      <c r="J144" s="6">
        <f>IF(I144&gt;0,I144*'National Rate Table'!E7,0)</f>
        <v>0</v>
      </c>
      <c r="K144" s="5"/>
    </row>
    <row r="145" spans="4:11" x14ac:dyDescent="0.25">
      <c r="D145" s="4"/>
      <c r="E145" s="5" t="s">
        <v>24</v>
      </c>
      <c r="F145" s="5">
        <v>101</v>
      </c>
      <c r="G145" s="5">
        <v>1000</v>
      </c>
      <c r="H145" s="5" t="s">
        <v>9</v>
      </c>
      <c r="I145" s="5" t="s">
        <v>7</v>
      </c>
      <c r="J145" s="6" t="s">
        <v>10</v>
      </c>
      <c r="K145" s="5"/>
    </row>
    <row r="146" spans="4:11" x14ac:dyDescent="0.25">
      <c r="D146" s="4" t="s">
        <v>53</v>
      </c>
      <c r="E146" s="5"/>
      <c r="F146" s="5"/>
      <c r="G146" s="5"/>
      <c r="H146" s="8">
        <f>H144-50</f>
        <v>-100</v>
      </c>
      <c r="I146" s="5">
        <f>IF(H146&gt;900,900,H146)</f>
        <v>-100</v>
      </c>
      <c r="J146" s="6">
        <f>IF(I146&gt;0,I146*'National Rate Table'!E8,0)</f>
        <v>0</v>
      </c>
      <c r="K146" s="5"/>
    </row>
    <row r="147" spans="4:11" x14ac:dyDescent="0.25">
      <c r="D147" s="4">
        <f>IF(J155&lt;150,150,J155)</f>
        <v>150</v>
      </c>
      <c r="E147" s="5" t="s">
        <v>26</v>
      </c>
      <c r="F147" s="5">
        <v>1001</v>
      </c>
      <c r="G147" s="5">
        <v>5000</v>
      </c>
      <c r="H147" s="5" t="s">
        <v>16</v>
      </c>
      <c r="I147" s="5" t="s">
        <v>7</v>
      </c>
      <c r="J147" s="6" t="s">
        <v>21</v>
      </c>
      <c r="K147" s="5"/>
    </row>
    <row r="148" spans="4:11" x14ac:dyDescent="0.25">
      <c r="D148" s="4" t="s">
        <v>52</v>
      </c>
      <c r="E148" s="5"/>
      <c r="F148" s="5"/>
      <c r="G148" s="5"/>
      <c r="H148" s="8">
        <f>H146-900</f>
        <v>-1000</v>
      </c>
      <c r="I148" s="5">
        <f>IF(H148&gt;4000,4000,H148)</f>
        <v>-1000</v>
      </c>
      <c r="J148" s="6">
        <f>IF(I148&gt;0,I148*'National Rate Table'!E9,0)</f>
        <v>0</v>
      </c>
      <c r="K148" s="5"/>
    </row>
    <row r="149" spans="4:11" x14ac:dyDescent="0.25">
      <c r="D149" s="4">
        <f>IF(J155=0,0,D147*1.2)</f>
        <v>0</v>
      </c>
      <c r="E149" s="5" t="s">
        <v>25</v>
      </c>
      <c r="F149" s="5">
        <v>5001</v>
      </c>
      <c r="G149" s="5">
        <v>10000</v>
      </c>
      <c r="H149" s="5" t="s">
        <v>20</v>
      </c>
      <c r="I149" s="5" t="s">
        <v>7</v>
      </c>
      <c r="J149" s="6" t="s">
        <v>22</v>
      </c>
      <c r="K149" s="5"/>
    </row>
    <row r="150" spans="4:11" x14ac:dyDescent="0.25">
      <c r="D150" s="4" t="s">
        <v>54</v>
      </c>
      <c r="E150" s="5"/>
      <c r="F150" s="5"/>
      <c r="G150" s="5"/>
      <c r="H150" s="8">
        <f>H148-4000</f>
        <v>-5000</v>
      </c>
      <c r="I150" s="5">
        <f>IF(H150&gt;5000,5000,H150)</f>
        <v>-5000</v>
      </c>
      <c r="J150" s="6">
        <f>IF(I150&gt;0,I150*'National Rate Table'!E10, 0)</f>
        <v>0</v>
      </c>
      <c r="K150" s="5"/>
    </row>
    <row r="151" spans="4:11" x14ac:dyDescent="0.25">
      <c r="D151" s="4">
        <f>D147*0.7</f>
        <v>105</v>
      </c>
      <c r="E151" s="5" t="s">
        <v>27</v>
      </c>
      <c r="F151" s="5">
        <v>10001</v>
      </c>
      <c r="G151" s="5">
        <v>15000</v>
      </c>
      <c r="H151" s="5" t="s">
        <v>28</v>
      </c>
      <c r="I151" s="5" t="s">
        <v>7</v>
      </c>
      <c r="J151" s="6" t="s">
        <v>29</v>
      </c>
      <c r="K151" s="5"/>
    </row>
    <row r="152" spans="4:11" x14ac:dyDescent="0.25">
      <c r="D152" s="4"/>
      <c r="E152" s="5"/>
      <c r="F152" s="5"/>
      <c r="G152" s="5"/>
      <c r="H152" s="8">
        <f>H150-5000</f>
        <v>-10000</v>
      </c>
      <c r="I152" s="5">
        <f>IF(H152&gt;5000,5000,H152)</f>
        <v>-10000</v>
      </c>
      <c r="J152" s="6">
        <f>IF(I152&gt;0,I152*'National Rate Table'!E11,0)</f>
        <v>0</v>
      </c>
      <c r="K152" s="5"/>
    </row>
    <row r="153" spans="4:11" x14ac:dyDescent="0.25">
      <c r="D153" s="4"/>
      <c r="E153" s="5" t="s">
        <v>15</v>
      </c>
      <c r="F153" s="5">
        <v>150000</v>
      </c>
      <c r="G153" s="5"/>
      <c r="H153" s="5" t="s">
        <v>30</v>
      </c>
      <c r="I153" s="5" t="s">
        <v>7</v>
      </c>
      <c r="J153" s="6" t="s">
        <v>31</v>
      </c>
      <c r="K153" s="5"/>
    </row>
    <row r="154" spans="4:11" x14ac:dyDescent="0.25">
      <c r="D154" s="4"/>
      <c r="E154" s="5"/>
      <c r="F154" s="5"/>
      <c r="G154" s="5"/>
      <c r="H154" s="8">
        <f>H152-5000</f>
        <v>-15000</v>
      </c>
      <c r="I154" s="8">
        <f>H154</f>
        <v>-15000</v>
      </c>
      <c r="J154" s="6">
        <f>IF(I154&gt;0,I154*'National Rate Table'!E12,0)</f>
        <v>0</v>
      </c>
      <c r="K154" s="5"/>
    </row>
    <row r="155" spans="4:11" x14ac:dyDescent="0.25">
      <c r="D155" s="9"/>
      <c r="E155" s="10"/>
      <c r="F155" s="10"/>
      <c r="G155" s="10"/>
      <c r="H155" s="11" t="s">
        <v>33</v>
      </c>
      <c r="I155" s="11">
        <f>SUM(I142:I154)</f>
        <v>-31150</v>
      </c>
      <c r="J155" s="12">
        <f>IF(D142&gt;0,(SUM(J142:J154)*0.7),0)</f>
        <v>0</v>
      </c>
      <c r="K155" s="5"/>
    </row>
    <row r="156" spans="4:11" x14ac:dyDescent="0.25">
      <c r="D156" s="10"/>
      <c r="E156" s="10"/>
      <c r="F156" s="10"/>
      <c r="G156" s="10"/>
      <c r="H156" s="10"/>
      <c r="I156" s="10"/>
      <c r="J156" s="10"/>
      <c r="K156" s="10"/>
    </row>
    <row r="157" spans="4:11" x14ac:dyDescent="0.25">
      <c r="D157" s="10"/>
      <c r="E157" s="10"/>
      <c r="F157" s="10"/>
      <c r="G157" s="10"/>
      <c r="H157" s="10"/>
      <c r="I157" s="10"/>
      <c r="J157" s="10"/>
      <c r="K157" s="10"/>
    </row>
    <row r="158" spans="4:11" x14ac:dyDescent="0.25">
      <c r="D158" s="23"/>
      <c r="E158" s="23"/>
      <c r="F158" s="23"/>
      <c r="G158" s="23"/>
      <c r="H158" s="23"/>
      <c r="I158" s="23"/>
      <c r="J158" s="23"/>
      <c r="K158" s="23"/>
    </row>
  </sheetData>
  <mergeCells count="14">
    <mergeCell ref="B3:Q3"/>
    <mergeCell ref="G74:H74"/>
    <mergeCell ref="G76:H76"/>
    <mergeCell ref="B2:Q2"/>
    <mergeCell ref="G7:H7"/>
    <mergeCell ref="G8:H8"/>
    <mergeCell ref="G9:H9"/>
    <mergeCell ref="D6:E6"/>
    <mergeCell ref="G6:I6"/>
    <mergeCell ref="G77:H77"/>
    <mergeCell ref="G75:H75"/>
    <mergeCell ref="G10:H10"/>
    <mergeCell ref="D73:E73"/>
    <mergeCell ref="G73:I7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72"/>
  <sheetViews>
    <sheetView topLeftCell="A105" workbookViewId="0">
      <selection activeCell="D116" sqref="D116"/>
    </sheetView>
  </sheetViews>
  <sheetFormatPr defaultColWidth="0" defaultRowHeight="15.75" x14ac:dyDescent="0.25"/>
  <cols>
    <col min="1" max="1" width="1.125" style="23" customWidth="1"/>
    <col min="2" max="2" width="1.125" customWidth="1"/>
    <col min="3" max="3" width="10.875" customWidth="1"/>
    <col min="4" max="4" width="17.125" bestFit="1" customWidth="1"/>
    <col min="5" max="5" width="20.875" bestFit="1" customWidth="1"/>
    <col min="6" max="6" width="22.625" bestFit="1" customWidth="1"/>
    <col min="7" max="7" width="12.375" bestFit="1" customWidth="1"/>
    <col min="8" max="8" width="15.875" bestFit="1" customWidth="1"/>
    <col min="9" max="9" width="17" bestFit="1" customWidth="1"/>
    <col min="10" max="10" width="20" bestFit="1" customWidth="1"/>
    <col min="11" max="11" width="14.125" bestFit="1" customWidth="1"/>
    <col min="12" max="12" width="15.375" bestFit="1" customWidth="1"/>
    <col min="13" max="13" width="16.625" customWidth="1"/>
    <col min="14" max="14" width="10.875" customWidth="1"/>
    <col min="15" max="15" width="25.125" bestFit="1" customWidth="1"/>
    <col min="16" max="16" width="10.875" customWidth="1"/>
    <col min="17" max="18" width="1.125" customWidth="1"/>
    <col min="19" max="19" width="1.125" style="23" customWidth="1"/>
    <col min="20" max="16384" width="10.875" hidden="1"/>
  </cols>
  <sheetData>
    <row r="1" spans="2:18" s="23" customFormat="1" ht="6.95" customHeight="1" x14ac:dyDescent="0.25"/>
    <row r="2" spans="2:18" x14ac:dyDescent="0.25">
      <c r="B2" s="360" t="s">
        <v>138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2"/>
    </row>
    <row r="3" spans="2:18" x14ac:dyDescent="0.25">
      <c r="B3" s="363" t="s">
        <v>128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5"/>
    </row>
    <row r="4" spans="2:18" ht="6.9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</row>
    <row r="5" spans="2:18" x14ac:dyDescent="0.25">
      <c r="B5" s="4"/>
      <c r="C5" s="1" t="s">
        <v>81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5"/>
      <c r="R5" s="6"/>
    </row>
    <row r="6" spans="2:18" x14ac:dyDescent="0.25">
      <c r="B6" s="4"/>
      <c r="C6" s="4"/>
      <c r="D6" s="1" t="s">
        <v>60</v>
      </c>
      <c r="E6" s="2"/>
      <c r="F6" s="2"/>
      <c r="G6" s="2"/>
      <c r="H6" s="3"/>
      <c r="I6" s="5"/>
      <c r="J6" s="5"/>
      <c r="K6" s="5"/>
      <c r="L6" s="5"/>
      <c r="M6" s="5"/>
      <c r="N6" s="5"/>
      <c r="O6" s="5"/>
      <c r="P6" s="6"/>
      <c r="Q6" s="5"/>
      <c r="R6" s="6"/>
    </row>
    <row r="7" spans="2:18" x14ac:dyDescent="0.25">
      <c r="B7" s="4"/>
      <c r="C7" s="4"/>
      <c r="D7" s="4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6"/>
      <c r="Q7" s="5"/>
      <c r="R7" s="6"/>
    </row>
    <row r="8" spans="2:18" x14ac:dyDescent="0.25">
      <c r="B8" s="4"/>
      <c r="C8" s="4"/>
      <c r="D8" s="4" t="s">
        <v>0</v>
      </c>
      <c r="E8" s="5"/>
      <c r="F8" s="5" t="s">
        <v>1</v>
      </c>
      <c r="G8" s="5" t="s">
        <v>32</v>
      </c>
      <c r="H8" s="6" t="s">
        <v>40</v>
      </c>
      <c r="I8" s="5"/>
      <c r="J8" s="5"/>
      <c r="K8" s="5"/>
      <c r="L8" s="5"/>
      <c r="M8" s="5"/>
      <c r="N8" s="5"/>
      <c r="O8" s="5"/>
      <c r="P8" s="6"/>
      <c r="Q8" s="5"/>
      <c r="R8" s="6"/>
    </row>
    <row r="9" spans="2:18" x14ac:dyDescent="0.25">
      <c r="B9" s="4"/>
      <c r="C9" s="4"/>
      <c r="D9" s="93">
        <f>'D, M, R &amp; W Rates'!I13</f>
        <v>0</v>
      </c>
      <c r="E9" s="5"/>
      <c r="F9" s="8">
        <f>ROUNDUP((D9/1000),0)</f>
        <v>0</v>
      </c>
      <c r="G9" s="5">
        <v>1</v>
      </c>
      <c r="H9" s="6">
        <f>IF(F9&gt;0,'DMRW Rate Table'!E6,0)</f>
        <v>0</v>
      </c>
      <c r="I9" s="5"/>
      <c r="J9" s="5"/>
      <c r="K9" s="5"/>
      <c r="L9" s="5"/>
      <c r="M9" s="5"/>
      <c r="N9" s="5"/>
      <c r="O9" s="5"/>
      <c r="P9" s="6"/>
      <c r="Q9" s="5"/>
      <c r="R9" s="6"/>
    </row>
    <row r="10" spans="2:18" x14ac:dyDescent="0.25">
      <c r="B10" s="4"/>
      <c r="C10" s="4"/>
      <c r="D10" s="4"/>
      <c r="E10" s="5" t="s">
        <v>41</v>
      </c>
      <c r="F10" s="5" t="s">
        <v>2</v>
      </c>
      <c r="G10" s="5" t="s">
        <v>7</v>
      </c>
      <c r="H10" s="6" t="s">
        <v>8</v>
      </c>
      <c r="I10" s="5"/>
      <c r="J10" s="5"/>
      <c r="K10" s="5"/>
      <c r="L10" s="5"/>
      <c r="M10" s="5"/>
      <c r="N10" s="5"/>
      <c r="O10" s="5"/>
      <c r="P10" s="6"/>
      <c r="Q10" s="5"/>
      <c r="R10" s="6"/>
    </row>
    <row r="11" spans="2:18" x14ac:dyDescent="0.25">
      <c r="B11" s="4"/>
      <c r="C11" s="4"/>
      <c r="D11" s="4"/>
      <c r="E11" s="5"/>
      <c r="F11" s="8">
        <f>F9-1</f>
        <v>-1</v>
      </c>
      <c r="G11" s="8">
        <f>IF(F11&gt;99,99,F11)</f>
        <v>-1</v>
      </c>
      <c r="H11" s="6">
        <f>IF(G11&gt;0,G11*'DMRW Rate Table'!E7,0)</f>
        <v>0</v>
      </c>
      <c r="I11" s="5"/>
      <c r="J11" s="5"/>
      <c r="K11" s="5"/>
      <c r="L11" s="5"/>
      <c r="M11" s="5"/>
      <c r="N11" s="5"/>
      <c r="O11" s="5"/>
      <c r="P11" s="6"/>
      <c r="Q11" s="5"/>
      <c r="R11" s="6"/>
    </row>
    <row r="12" spans="2:18" x14ac:dyDescent="0.25">
      <c r="B12" s="4"/>
      <c r="C12" s="4"/>
      <c r="D12" s="4"/>
      <c r="E12" s="5" t="s">
        <v>42</v>
      </c>
      <c r="F12" s="5" t="s">
        <v>9</v>
      </c>
      <c r="G12" s="5" t="s">
        <v>7</v>
      </c>
      <c r="H12" s="6" t="s">
        <v>10</v>
      </c>
      <c r="I12" s="5"/>
      <c r="J12" s="5"/>
      <c r="K12" s="5"/>
      <c r="L12" s="5"/>
      <c r="M12" s="5"/>
      <c r="N12" s="5"/>
      <c r="O12" s="5"/>
      <c r="P12" s="6"/>
      <c r="Q12" s="5"/>
      <c r="R12" s="6"/>
    </row>
    <row r="13" spans="2:18" x14ac:dyDescent="0.25">
      <c r="B13" s="4"/>
      <c r="C13" s="4"/>
      <c r="D13" s="4" t="s">
        <v>53</v>
      </c>
      <c r="E13" s="5"/>
      <c r="F13" s="8">
        <f>F11-99</f>
        <v>-100</v>
      </c>
      <c r="G13" s="5">
        <f>IF(F13&gt;400,400,F13)</f>
        <v>-100</v>
      </c>
      <c r="H13" s="6">
        <f>IF(G13&gt;0,G13*'DMRW Rate Table'!E8,0)</f>
        <v>0</v>
      </c>
      <c r="I13" s="5"/>
      <c r="J13" s="5"/>
      <c r="K13" s="5"/>
      <c r="L13" s="5"/>
      <c r="M13" s="5"/>
      <c r="N13" s="5"/>
      <c r="O13" s="5"/>
      <c r="P13" s="6"/>
      <c r="Q13" s="5"/>
      <c r="R13" s="6"/>
    </row>
    <row r="14" spans="2:18" x14ac:dyDescent="0.25">
      <c r="B14" s="4"/>
      <c r="C14" s="4"/>
      <c r="D14" s="4">
        <f>H24</f>
        <v>0</v>
      </c>
      <c r="E14" s="5" t="s">
        <v>43</v>
      </c>
      <c r="F14" s="5" t="s">
        <v>16</v>
      </c>
      <c r="G14" s="5" t="s">
        <v>7</v>
      </c>
      <c r="H14" s="6" t="s">
        <v>21</v>
      </c>
      <c r="I14" s="5"/>
      <c r="J14" s="5"/>
      <c r="K14" s="5"/>
      <c r="L14" s="5"/>
      <c r="M14" s="5"/>
      <c r="N14" s="5"/>
      <c r="O14" s="5"/>
      <c r="P14" s="6"/>
      <c r="Q14" s="5"/>
      <c r="R14" s="6"/>
    </row>
    <row r="15" spans="2:18" x14ac:dyDescent="0.25">
      <c r="B15" s="4"/>
      <c r="C15" s="4"/>
      <c r="D15" s="4" t="s">
        <v>52</v>
      </c>
      <c r="E15" s="5"/>
      <c r="F15" s="8">
        <f>F13-400</f>
        <v>-500</v>
      </c>
      <c r="G15" s="5">
        <f>IF(F15&gt;500,500,F15)</f>
        <v>-500</v>
      </c>
      <c r="H15" s="6">
        <f>IF(G15&gt;0,G15*'DMRW Rate Table'!E9,0)</f>
        <v>0</v>
      </c>
      <c r="I15" s="5"/>
      <c r="J15" s="5"/>
      <c r="K15" s="5"/>
      <c r="L15" s="5"/>
      <c r="M15" s="5"/>
      <c r="N15" s="5"/>
      <c r="O15" s="5"/>
      <c r="P15" s="6"/>
      <c r="Q15" s="5"/>
      <c r="R15" s="6"/>
    </row>
    <row r="16" spans="2:18" x14ac:dyDescent="0.25">
      <c r="B16" s="4"/>
      <c r="C16" s="4"/>
      <c r="D16" s="4">
        <f>D14*1.2</f>
        <v>0</v>
      </c>
      <c r="E16" s="5" t="s">
        <v>26</v>
      </c>
      <c r="F16" s="5" t="s">
        <v>20</v>
      </c>
      <c r="G16" s="5" t="s">
        <v>7</v>
      </c>
      <c r="H16" s="6" t="s">
        <v>22</v>
      </c>
      <c r="I16" s="5"/>
      <c r="J16" s="5"/>
      <c r="K16" s="5"/>
      <c r="L16" s="5"/>
      <c r="M16" s="5"/>
      <c r="N16" s="5"/>
      <c r="O16" s="5"/>
      <c r="P16" s="6"/>
      <c r="Q16" s="5"/>
      <c r="R16" s="6"/>
    </row>
    <row r="17" spans="2:18" x14ac:dyDescent="0.25">
      <c r="B17" s="4"/>
      <c r="C17" s="4"/>
      <c r="D17" s="4" t="s">
        <v>55</v>
      </c>
      <c r="E17" s="5"/>
      <c r="F17" s="8">
        <f>F15-500</f>
        <v>-1000</v>
      </c>
      <c r="G17" s="5">
        <f>IF(F17&gt;4000,4000,F17)</f>
        <v>-1000</v>
      </c>
      <c r="H17" s="6">
        <f>IF(G17&gt;0,G17*'DMRW Rate Table'!E10, 0)</f>
        <v>0</v>
      </c>
      <c r="I17" s="5"/>
      <c r="J17" s="5"/>
      <c r="K17" s="5"/>
      <c r="L17" s="5"/>
      <c r="M17" s="5"/>
      <c r="N17" s="5"/>
      <c r="O17" s="5"/>
      <c r="P17" s="6"/>
      <c r="Q17" s="5"/>
      <c r="R17" s="6"/>
    </row>
    <row r="18" spans="2:18" x14ac:dyDescent="0.25">
      <c r="B18" s="4"/>
      <c r="C18" s="4"/>
      <c r="D18" s="4">
        <f>D14*0.7</f>
        <v>0</v>
      </c>
      <c r="E18" s="5" t="s">
        <v>25</v>
      </c>
      <c r="F18" s="5" t="s">
        <v>28</v>
      </c>
      <c r="G18" s="5" t="s">
        <v>7</v>
      </c>
      <c r="H18" s="6" t="s">
        <v>29</v>
      </c>
      <c r="I18" s="5"/>
      <c r="J18" s="5"/>
      <c r="K18" s="5"/>
      <c r="L18" s="5"/>
      <c r="M18" s="5"/>
      <c r="N18" s="5"/>
      <c r="O18" s="5"/>
      <c r="P18" s="6"/>
      <c r="Q18" s="5"/>
      <c r="R18" s="6"/>
    </row>
    <row r="19" spans="2:18" x14ac:dyDescent="0.25">
      <c r="B19" s="4"/>
      <c r="C19" s="4"/>
      <c r="D19" s="4"/>
      <c r="E19" s="5"/>
      <c r="F19" s="8">
        <f>F17-4000</f>
        <v>-5000</v>
      </c>
      <c r="G19" s="5">
        <f>IF(F19&gt;5000,5000,F19)</f>
        <v>-5000</v>
      </c>
      <c r="H19" s="6">
        <f>IF(G19&gt;0,G19*'DMRW Rate Table'!E11,0)</f>
        <v>0</v>
      </c>
      <c r="I19" s="5"/>
      <c r="J19" s="5"/>
      <c r="K19" s="5"/>
      <c r="L19" s="5"/>
      <c r="M19" s="5"/>
      <c r="N19" s="5"/>
      <c r="O19" s="5"/>
      <c r="P19" s="6"/>
      <c r="Q19" s="5"/>
      <c r="R19" s="6"/>
    </row>
    <row r="20" spans="2:18" x14ac:dyDescent="0.25">
      <c r="B20" s="4"/>
      <c r="C20" s="4"/>
      <c r="D20" s="4"/>
      <c r="E20" s="5" t="s">
        <v>27</v>
      </c>
      <c r="F20" s="5" t="s">
        <v>30</v>
      </c>
      <c r="G20" s="5" t="s">
        <v>7</v>
      </c>
      <c r="H20" s="6" t="s">
        <v>31</v>
      </c>
      <c r="I20" s="5"/>
      <c r="J20" s="5"/>
      <c r="K20" s="5"/>
      <c r="L20" s="5"/>
      <c r="M20" s="5"/>
      <c r="N20" s="5"/>
      <c r="O20" s="5"/>
      <c r="P20" s="6"/>
      <c r="Q20" s="5"/>
      <c r="R20" s="6"/>
    </row>
    <row r="21" spans="2:18" x14ac:dyDescent="0.25">
      <c r="B21" s="4"/>
      <c r="C21" s="4"/>
      <c r="D21" s="4"/>
      <c r="E21" s="5"/>
      <c r="F21" s="8">
        <f>F19-5000</f>
        <v>-10000</v>
      </c>
      <c r="G21" s="8">
        <f>IF(F21&gt;5000,5000,F21)</f>
        <v>-10000</v>
      </c>
      <c r="H21" s="6">
        <f>IF(G21&gt;0,G21*'DMRW Rate Table'!E12,0)</f>
        <v>0</v>
      </c>
      <c r="I21" s="5"/>
      <c r="J21" s="5"/>
      <c r="K21" s="5"/>
      <c r="L21" s="5"/>
      <c r="M21" s="5"/>
      <c r="N21" s="5"/>
      <c r="O21" s="5"/>
      <c r="P21" s="6"/>
      <c r="Q21" s="5"/>
      <c r="R21" s="6"/>
    </row>
    <row r="22" spans="2:18" x14ac:dyDescent="0.25">
      <c r="B22" s="4"/>
      <c r="C22" s="4"/>
      <c r="D22" s="4"/>
      <c r="E22" s="5" t="s">
        <v>15</v>
      </c>
      <c r="F22" s="5" t="s">
        <v>44</v>
      </c>
      <c r="G22" s="5" t="s">
        <v>7</v>
      </c>
      <c r="H22" s="6" t="s">
        <v>45</v>
      </c>
      <c r="I22" s="5"/>
      <c r="J22" s="5"/>
      <c r="K22" s="5"/>
      <c r="L22" s="5"/>
      <c r="M22" s="5"/>
      <c r="N22" s="5"/>
      <c r="O22" s="5"/>
      <c r="P22" s="6"/>
      <c r="Q22" s="5"/>
      <c r="R22" s="6"/>
    </row>
    <row r="23" spans="2:18" x14ac:dyDescent="0.25">
      <c r="B23" s="4"/>
      <c r="C23" s="4"/>
      <c r="D23" s="4"/>
      <c r="E23" s="5"/>
      <c r="F23" s="8">
        <f>F21-5000</f>
        <v>-15000</v>
      </c>
      <c r="G23" s="8">
        <f>F23</f>
        <v>-15000</v>
      </c>
      <c r="H23" s="6">
        <f>IF(G23&gt;0,G23*'DMRW Rate Table'!E13,0)</f>
        <v>0</v>
      </c>
      <c r="I23" s="5"/>
      <c r="J23" s="5"/>
      <c r="K23" s="5"/>
      <c r="L23" s="5"/>
      <c r="M23" s="5"/>
      <c r="N23" s="5"/>
      <c r="O23" s="5"/>
      <c r="P23" s="6"/>
      <c r="Q23" s="5"/>
      <c r="R23" s="6"/>
    </row>
    <row r="24" spans="2:18" x14ac:dyDescent="0.25">
      <c r="B24" s="4"/>
      <c r="C24" s="4"/>
      <c r="D24" s="9"/>
      <c r="E24" s="10"/>
      <c r="F24" s="11" t="s">
        <v>33</v>
      </c>
      <c r="G24" s="11">
        <f>SUM(G9:G23)</f>
        <v>-31600</v>
      </c>
      <c r="H24" s="12">
        <f>SUM(H9:H23)</f>
        <v>0</v>
      </c>
      <c r="I24" s="5"/>
      <c r="J24" s="5"/>
      <c r="K24" s="5"/>
      <c r="L24" s="5"/>
      <c r="M24" s="5"/>
      <c r="N24" s="5"/>
      <c r="O24" s="5"/>
      <c r="P24" s="6"/>
      <c r="Q24" s="5"/>
      <c r="R24" s="6"/>
    </row>
    <row r="25" spans="2:18" x14ac:dyDescent="0.25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  <c r="Q25" s="5"/>
      <c r="R25" s="6"/>
    </row>
    <row r="26" spans="2:18" x14ac:dyDescent="0.25">
      <c r="B26" s="4"/>
      <c r="C26" s="4"/>
      <c r="D26" s="13" t="s">
        <v>61</v>
      </c>
      <c r="E26" s="3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  <c r="Q26" s="5"/>
      <c r="R26" s="6"/>
    </row>
    <row r="27" spans="2:18" x14ac:dyDescent="0.25">
      <c r="B27" s="4"/>
      <c r="C27" s="4"/>
      <c r="D27" s="4"/>
      <c r="E27" s="6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5"/>
      <c r="R27" s="6"/>
    </row>
    <row r="28" spans="2:18" x14ac:dyDescent="0.25">
      <c r="B28" s="4"/>
      <c r="C28" s="4"/>
      <c r="D28" s="9" t="s">
        <v>57</v>
      </c>
      <c r="E28" s="14">
        <f>ROUNDUP(('D, M, R &amp; W Rates'!I17/1000),0)</f>
        <v>0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  <c r="Q28" s="5"/>
      <c r="R28" s="6"/>
    </row>
    <row r="29" spans="2:18" x14ac:dyDescent="0.25"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  <c r="Q29" s="5"/>
      <c r="R29" s="6"/>
    </row>
    <row r="30" spans="2:18" x14ac:dyDescent="0.25">
      <c r="B30" s="4"/>
      <c r="C30" s="4"/>
      <c r="D30" s="13" t="s">
        <v>66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6"/>
      <c r="Q30" s="5"/>
      <c r="R30" s="6"/>
    </row>
    <row r="31" spans="2:18" x14ac:dyDescent="0.25">
      <c r="B31" s="4"/>
      <c r="C31" s="4"/>
      <c r="D31" s="4" t="s">
        <v>65</v>
      </c>
      <c r="E31" s="5"/>
      <c r="F31" s="8">
        <f>E28-F9</f>
        <v>0</v>
      </c>
      <c r="G31" s="5"/>
      <c r="H31" s="5"/>
      <c r="I31" s="5"/>
      <c r="J31" s="5"/>
      <c r="K31" s="5"/>
      <c r="L31" s="5"/>
      <c r="M31" s="5"/>
      <c r="N31" s="5"/>
      <c r="O31" s="6"/>
      <c r="P31" s="6"/>
      <c r="Q31" s="5"/>
      <c r="R31" s="6"/>
    </row>
    <row r="32" spans="2:18" x14ac:dyDescent="0.25">
      <c r="B32" s="4"/>
      <c r="C32" s="4"/>
      <c r="D32" s="4"/>
      <c r="E32" s="5"/>
      <c r="F32" s="5"/>
      <c r="G32" s="5" t="s">
        <v>64</v>
      </c>
      <c r="H32" s="5" t="s">
        <v>118</v>
      </c>
      <c r="I32" s="5" t="s">
        <v>117</v>
      </c>
      <c r="J32" s="5" t="s">
        <v>120</v>
      </c>
      <c r="K32" s="17" t="s">
        <v>119</v>
      </c>
      <c r="L32" s="17" t="s">
        <v>122</v>
      </c>
      <c r="M32" s="17" t="s">
        <v>123</v>
      </c>
      <c r="N32" s="5" t="s">
        <v>71</v>
      </c>
      <c r="O32" s="6" t="s">
        <v>72</v>
      </c>
      <c r="P32" s="6"/>
      <c r="Q32" s="5"/>
      <c r="R32" s="6"/>
    </row>
    <row r="33" spans="2:18" x14ac:dyDescent="0.25">
      <c r="B33" s="4"/>
      <c r="C33" s="4"/>
      <c r="D33" s="4">
        <v>1</v>
      </c>
      <c r="E33" s="5">
        <v>0</v>
      </c>
      <c r="F33" s="5">
        <v>1</v>
      </c>
      <c r="G33" s="5" t="b">
        <f>IF(AND(F9&gt;E33,F9&lt;=F33), TRUE, FALSE)</f>
        <v>0</v>
      </c>
      <c r="H33" s="8">
        <v>1</v>
      </c>
      <c r="I33" s="8">
        <f>IF(G33=TRUE,ABS(((F33-F9))),0)</f>
        <v>0</v>
      </c>
      <c r="J33" s="5">
        <v>0</v>
      </c>
      <c r="K33" s="132">
        <v>0</v>
      </c>
      <c r="L33" s="132"/>
      <c r="M33" s="141">
        <v>0</v>
      </c>
      <c r="N33" s="5">
        <f>IF(AND(SUM(J33:J40)&lt;0,G33=TRUE),F31*'DMRW Rate Table'!E6,IF((I33+J33+K33)&lt;0,0,(J33+I33+K33)*'DMRW Rate Table'!E6))</f>
        <v>0</v>
      </c>
      <c r="O33" s="6">
        <f t="shared" ref="O33:O39" si="0">N33*1.2</f>
        <v>0</v>
      </c>
      <c r="P33" s="6"/>
      <c r="Q33" s="5"/>
      <c r="R33" s="6"/>
    </row>
    <row r="34" spans="2:18" x14ac:dyDescent="0.25">
      <c r="B34" s="4"/>
      <c r="C34" s="4"/>
      <c r="D34" s="4">
        <v>2</v>
      </c>
      <c r="E34" s="5">
        <v>2</v>
      </c>
      <c r="F34" s="5">
        <v>100</v>
      </c>
      <c r="G34" s="5" t="b">
        <f>IF(AND(F9&gt;=E34,F9&lt;=F34), TRUE, FALSE)</f>
        <v>0</v>
      </c>
      <c r="H34" s="8">
        <v>99</v>
      </c>
      <c r="I34" s="8">
        <f>IF(G34=TRUE,ABS((F34-F9)),0)</f>
        <v>0</v>
      </c>
      <c r="J34" s="5">
        <f>IF(I33&gt;0,IF((F31-I33)&gt;H34,H34,F31-I33),0)</f>
        <v>0</v>
      </c>
      <c r="K34" s="132">
        <v>0</v>
      </c>
      <c r="L34" s="132">
        <f>E28-F33</f>
        <v>-1</v>
      </c>
      <c r="M34" s="141">
        <f>IF(AND(L34&gt;0,SUM(I34:K34)=0,G33=TRUE),L34*'DMRW Rate Table'!E7,0)</f>
        <v>0</v>
      </c>
      <c r="N34" s="5">
        <f>IF(AND(SUM(J33:J40)&lt;0,G34=TRUE),F31*'DMRW Rate Table'!E7,IF((I34+J34+K34)&lt;0,0,(J34+I34+K34)*'DMRW Rate Table'!E7))</f>
        <v>0</v>
      </c>
      <c r="O34" s="6">
        <f t="shared" si="0"/>
        <v>0</v>
      </c>
      <c r="P34" s="6"/>
      <c r="Q34" s="5"/>
      <c r="R34" s="6"/>
    </row>
    <row r="35" spans="2:18" x14ac:dyDescent="0.25">
      <c r="B35" s="4"/>
      <c r="C35" s="4"/>
      <c r="D35" s="4">
        <v>3</v>
      </c>
      <c r="E35" s="5">
        <v>100</v>
      </c>
      <c r="F35" s="5">
        <v>500</v>
      </c>
      <c r="G35" s="5" t="b">
        <f>IF(AND(F9&gt;E35,F9&lt;=F35), TRUE, FALSE)</f>
        <v>0</v>
      </c>
      <c r="H35" s="8">
        <v>400</v>
      </c>
      <c r="I35" s="8">
        <f>IF(G35=TRUE,ABS((F35-F9)),0)</f>
        <v>0</v>
      </c>
      <c r="J35" s="5">
        <f>IF(I34&gt;0,IF((F31-I34)&gt;H35,H35,F31-I34),0)</f>
        <v>0</v>
      </c>
      <c r="K35" s="132">
        <f>IF(AND((J34+I33)&lt;F31,(J34+I33)&gt;0),F31-(J34+I33),0)</f>
        <v>0</v>
      </c>
      <c r="L35" s="132">
        <f>E28-F34</f>
        <v>-100</v>
      </c>
      <c r="M35" s="141">
        <f>IF(AND(L35&gt;0,SUM(I35:K35)=0,G34=TRUE),L35*'DMRW Rate Table'!E8,0)</f>
        <v>0</v>
      </c>
      <c r="N35" s="5">
        <f>IF(AND(SUM(J33:J40)&lt;0,G35=TRUE),F31*'DMRW Rate Table'!E8,IF((I35+J35+K35)&lt;0,0,(J35+I35+K35)*'DMRW Rate Table'!E8))</f>
        <v>0</v>
      </c>
      <c r="O35" s="6">
        <f t="shared" si="0"/>
        <v>0</v>
      </c>
      <c r="P35" s="6"/>
      <c r="Q35" s="5"/>
      <c r="R35" s="6"/>
    </row>
    <row r="36" spans="2:18" x14ac:dyDescent="0.25">
      <c r="B36" s="4"/>
      <c r="C36" s="4"/>
      <c r="D36" s="4">
        <v>4</v>
      </c>
      <c r="E36" s="5">
        <v>500</v>
      </c>
      <c r="F36" s="5">
        <v>1000</v>
      </c>
      <c r="G36" s="5" t="b">
        <f>IF(AND(F9&gt;E36,F9&lt;=F36,F31&gt;0), TRUE, FALSE)</f>
        <v>0</v>
      </c>
      <c r="H36" s="8">
        <v>500</v>
      </c>
      <c r="I36" s="8">
        <f>IF(G36=TRUE,ABS((F36-F9)),0)</f>
        <v>0</v>
      </c>
      <c r="J36" s="5">
        <f>IF(I35&gt;0,IF((F31-I35)&gt;H36,H36,F31-I35),0)</f>
        <v>0</v>
      </c>
      <c r="K36" s="132">
        <f>IF(AND((J35+I34)&lt;F31,(J35+I34)&gt;0),F31-(J35+I34),0)</f>
        <v>0</v>
      </c>
      <c r="L36" s="132">
        <f>E28-F35</f>
        <v>-500</v>
      </c>
      <c r="M36" s="141">
        <f>IF(AND(L36&gt;0,SUM(I36:K36)=0,G35=TRUE),L36*'DMRW Rate Table'!E9,0)</f>
        <v>0</v>
      </c>
      <c r="N36" s="5">
        <f>IF(AND(SUM(J33:J40)&lt;0,G36=TRUE),F31*'DMRW Rate Table'!E9,IF((I36+J36+K36)&lt;0,0,(J36+I36+K36)*'DMRW Rate Table'!E9))</f>
        <v>0</v>
      </c>
      <c r="O36" s="6">
        <f t="shared" si="0"/>
        <v>0</v>
      </c>
      <c r="P36" s="6"/>
      <c r="Q36" s="5"/>
      <c r="R36" s="6"/>
    </row>
    <row r="37" spans="2:18" x14ac:dyDescent="0.25">
      <c r="B37" s="4"/>
      <c r="C37" s="4"/>
      <c r="D37" s="4">
        <v>5</v>
      </c>
      <c r="E37" s="5">
        <v>1000</v>
      </c>
      <c r="F37" s="5">
        <v>5000</v>
      </c>
      <c r="G37" s="5" t="b">
        <f>IF(AND(F9&gt;E37,F9&lt;=F37), TRUE, FALSE)</f>
        <v>0</v>
      </c>
      <c r="H37" s="8">
        <v>4000</v>
      </c>
      <c r="I37" s="8">
        <f>IF(G37=TRUE,ABS((F37-F9)),0)</f>
        <v>0</v>
      </c>
      <c r="J37" s="5">
        <f>IF(I36&gt;0,IF((F31-I36)&gt;H37,H37,F31-I36),0)</f>
        <v>0</v>
      </c>
      <c r="K37" s="132">
        <f>IF(AND((J36+I35)&lt;F31,(J36+I35)&gt;0),F31-(J36+I35),0)</f>
        <v>0</v>
      </c>
      <c r="L37" s="132">
        <f>E28-F36</f>
        <v>-1000</v>
      </c>
      <c r="M37" s="141">
        <f>IF(AND(L37&gt;0,SUM(I37:K37)=0,G36=TRUE),L37*'DMRW Rate Table'!E10,0)</f>
        <v>0</v>
      </c>
      <c r="N37" s="5">
        <f>IF(AND(SUM(J33:J40)&lt;0,G37=TRUE),F31*'DMRW Rate Table'!E10,IF((I37+J37+K37)&lt;0,0,(J37+I37+K37)*'DMRW Rate Table'!E10))</f>
        <v>0</v>
      </c>
      <c r="O37" s="6">
        <f t="shared" si="0"/>
        <v>0</v>
      </c>
      <c r="P37" s="6"/>
      <c r="Q37" s="5"/>
      <c r="R37" s="6"/>
    </row>
    <row r="38" spans="2:18" x14ac:dyDescent="0.25">
      <c r="B38" s="4"/>
      <c r="C38" s="4"/>
      <c r="D38" s="4">
        <v>6</v>
      </c>
      <c r="E38" s="5">
        <v>5000</v>
      </c>
      <c r="F38" s="5">
        <v>10000</v>
      </c>
      <c r="G38" s="5" t="b">
        <f>IF(AND(F9&gt;E38,F9&lt;=F38), TRUE, FALSE)</f>
        <v>0</v>
      </c>
      <c r="H38" s="8">
        <v>5000</v>
      </c>
      <c r="I38" s="8">
        <f>IF(G38=TRUE,ABS((F38-F9)),0)</f>
        <v>0</v>
      </c>
      <c r="J38" s="5">
        <f>IF(I37&gt;0,IF((F31-I37)&gt;H38,H38,F31-I37),0)</f>
        <v>0</v>
      </c>
      <c r="K38" s="132">
        <f>IF(AND((J37+I36)&lt;F31,(J37+I36)&gt;0),F31-(J37+I36),0)</f>
        <v>0</v>
      </c>
      <c r="L38" s="132">
        <f>E28-F37</f>
        <v>-5000</v>
      </c>
      <c r="M38" s="141">
        <f>IF(AND(L38&gt;0,SUM(I38:K38)=0,G37=TRUE),L38*'DMRW Rate Table'!E11,0)</f>
        <v>0</v>
      </c>
      <c r="N38" s="5">
        <f>IF(AND(SUM(J33:J40)&lt;0,G38=TRUE),F31*'DMRW Rate Table'!E11,IF((I38+J38+K38)&lt;0,0,(J38+I38+K38)*'DMRW Rate Table'!E11))</f>
        <v>0</v>
      </c>
      <c r="O38" s="6">
        <f t="shared" si="0"/>
        <v>0</v>
      </c>
      <c r="P38" s="6"/>
      <c r="Q38" s="5"/>
      <c r="R38" s="6"/>
    </row>
    <row r="39" spans="2:18" x14ac:dyDescent="0.25">
      <c r="B39" s="4"/>
      <c r="C39" s="4"/>
      <c r="D39" s="4">
        <v>7</v>
      </c>
      <c r="E39" s="17">
        <v>10000</v>
      </c>
      <c r="F39" s="17">
        <v>15000</v>
      </c>
      <c r="G39" s="5" t="b">
        <f>IF(AND(F9&gt;E39,F9&lt;=F39), TRUE, FALSE)</f>
        <v>0</v>
      </c>
      <c r="H39" s="8">
        <v>5000</v>
      </c>
      <c r="I39" s="8">
        <f>IF(G39=TRUE,ABS((F39-F9)),0)</f>
        <v>0</v>
      </c>
      <c r="J39" s="5">
        <f>IF(I38&gt;0,IF((F31-I38)&gt;H39,H39,F31-I38),0)</f>
        <v>0</v>
      </c>
      <c r="K39" s="132">
        <f>IF(AND((J38+I37)&lt;F31,(J38+I37)&gt;0),F31-(J38+I37),0)</f>
        <v>0</v>
      </c>
      <c r="L39" s="132">
        <f>E28-F38</f>
        <v>-10000</v>
      </c>
      <c r="M39" s="141">
        <f>IF(AND(L39&gt;0,SUM(I39:K39)=0,G38=TRUE),L39*'DMRW Rate Table'!E12,0)</f>
        <v>0</v>
      </c>
      <c r="N39" s="5">
        <f>IF(AND(SUM(J33:J40)&lt;0,G39=TRUE),F31*'DMRW Rate Table'!E12,IF((I39+J39+K39)&lt;0,0,(J39+I39+K39)*'DMRW Rate Table'!E12))</f>
        <v>0</v>
      </c>
      <c r="O39" s="6">
        <f t="shared" si="0"/>
        <v>0</v>
      </c>
      <c r="P39" s="6"/>
      <c r="Q39" s="5"/>
      <c r="R39" s="6"/>
    </row>
    <row r="40" spans="2:18" x14ac:dyDescent="0.25">
      <c r="B40" s="4"/>
      <c r="C40" s="4"/>
      <c r="D40" s="4">
        <v>8</v>
      </c>
      <c r="E40" s="5">
        <v>15000</v>
      </c>
      <c r="F40" s="5"/>
      <c r="G40" s="5" t="b">
        <f>IF(F9&gt;E40, TRUE, FALSE)</f>
        <v>0</v>
      </c>
      <c r="H40" s="8"/>
      <c r="I40" s="8">
        <f>IF(G40=TRUE,F31,0)</f>
        <v>0</v>
      </c>
      <c r="J40" s="5">
        <f>IF(I39&gt;0,IF((F31-I39)&gt;H40,H40,F31-I39),0)</f>
        <v>0</v>
      </c>
      <c r="K40" s="132">
        <f>IF(AND((J39+I38)&lt;F31,(J39+I38)&gt;0),F31-(J39+I38),0)</f>
        <v>0</v>
      </c>
      <c r="L40" s="132">
        <f>E28-F39</f>
        <v>-15000</v>
      </c>
      <c r="M40" s="141">
        <f>IF(AND(L40&gt;0,SUM(I40:K40)=0,G39=TRUE),L40*'DMRW Rate Table'!E13,0)</f>
        <v>0</v>
      </c>
      <c r="N40" s="5">
        <f>IF(AND(SUM(J33:J40)&lt;0,G40=TRUE),F31*'DMRW Rate Table'!E13,IF((I40+J40+K40)&lt;0,0,(J40+I40+K40)*'DMRW Rate Table'!E13))</f>
        <v>0</v>
      </c>
      <c r="O40" s="6">
        <f t="shared" ref="O40" si="1">N40*1.2</f>
        <v>0</v>
      </c>
      <c r="P40" s="6"/>
      <c r="Q40" s="5"/>
      <c r="R40" s="6"/>
    </row>
    <row r="41" spans="2:18" x14ac:dyDescent="0.25">
      <c r="B41" s="4"/>
      <c r="C41" s="4"/>
      <c r="D41" s="4"/>
      <c r="E41" s="5"/>
      <c r="F41" s="5" t="s">
        <v>68</v>
      </c>
      <c r="G41" s="5"/>
      <c r="H41" s="5"/>
      <c r="I41" s="5"/>
      <c r="J41" s="5"/>
      <c r="K41" s="5"/>
      <c r="L41" s="5"/>
      <c r="M41" s="5"/>
      <c r="N41" s="15">
        <f>IF(SUM(N33:N40)&lt;0,0,(SUM(N33:N40))+SUM(M33:M40))*0.7</f>
        <v>0</v>
      </c>
      <c r="O41" s="16">
        <f>N41*1.2</f>
        <v>0</v>
      </c>
      <c r="P41" s="6"/>
      <c r="Q41" s="5"/>
      <c r="R41" s="6"/>
    </row>
    <row r="42" spans="2:18" x14ac:dyDescent="0.25">
      <c r="B42" s="4"/>
      <c r="C42" s="4"/>
      <c r="D42" s="4"/>
      <c r="E42" s="5"/>
      <c r="F42" s="5" t="s">
        <v>69</v>
      </c>
      <c r="G42" s="5"/>
      <c r="H42" s="5"/>
      <c r="I42" s="5"/>
      <c r="J42" s="5"/>
      <c r="K42" s="5"/>
      <c r="L42" s="5"/>
      <c r="M42" s="5"/>
      <c r="N42" s="15">
        <f>IF(E28&gt;0,35,0)</f>
        <v>0</v>
      </c>
      <c r="O42" s="16">
        <f>IF(E28&gt;0,35,0)</f>
        <v>0</v>
      </c>
      <c r="P42" s="6"/>
      <c r="Q42" s="5"/>
      <c r="R42" s="6"/>
    </row>
    <row r="43" spans="2:18" x14ac:dyDescent="0.25">
      <c r="B43" s="4"/>
      <c r="C43" s="4"/>
      <c r="D43" s="9"/>
      <c r="E43" s="10"/>
      <c r="F43" s="10" t="s">
        <v>70</v>
      </c>
      <c r="G43" s="10"/>
      <c r="H43" s="10"/>
      <c r="I43" s="10"/>
      <c r="J43" s="10"/>
      <c r="K43" s="10"/>
      <c r="L43" s="10"/>
      <c r="M43" s="10"/>
      <c r="N43" s="11">
        <f>N42+N41</f>
        <v>0</v>
      </c>
      <c r="O43" s="12">
        <f>O42+O41</f>
        <v>0</v>
      </c>
      <c r="P43" s="6"/>
      <c r="Q43" s="5"/>
      <c r="R43" s="6"/>
    </row>
    <row r="44" spans="2:18" x14ac:dyDescent="0.25">
      <c r="B44" s="4"/>
      <c r="C44" s="4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5"/>
      <c r="R44" s="6"/>
    </row>
    <row r="45" spans="2:18" x14ac:dyDescent="0.25">
      <c r="B45" s="4"/>
      <c r="C45" s="4"/>
      <c r="D45" s="13" t="s">
        <v>75</v>
      </c>
      <c r="E45" s="2"/>
      <c r="F45" s="2"/>
      <c r="G45" s="2"/>
      <c r="H45" s="2"/>
      <c r="I45" s="3"/>
      <c r="J45" s="5"/>
      <c r="K45" s="5"/>
      <c r="L45" s="5"/>
      <c r="M45" s="5"/>
      <c r="N45" s="5"/>
      <c r="O45" s="5"/>
      <c r="P45" s="6"/>
      <c r="Q45" s="5"/>
      <c r="R45" s="6"/>
    </row>
    <row r="46" spans="2:18" x14ac:dyDescent="0.25">
      <c r="B46" s="4"/>
      <c r="C46" s="4"/>
      <c r="D46" s="4"/>
      <c r="E46" s="5"/>
      <c r="F46" s="5"/>
      <c r="G46" s="5"/>
      <c r="H46" s="5"/>
      <c r="I46" s="6"/>
      <c r="J46" s="5"/>
      <c r="K46" s="5"/>
      <c r="L46" s="5"/>
      <c r="M46" s="5"/>
      <c r="N46" s="5"/>
      <c r="O46" s="5"/>
      <c r="P46" s="6"/>
      <c r="Q46" s="5"/>
      <c r="R46" s="6"/>
    </row>
    <row r="47" spans="2:18" x14ac:dyDescent="0.25">
      <c r="B47" s="4"/>
      <c r="C47" s="4"/>
      <c r="D47" s="4" t="s">
        <v>0</v>
      </c>
      <c r="E47" s="5"/>
      <c r="F47" s="5" t="s">
        <v>1</v>
      </c>
      <c r="G47" s="5" t="s">
        <v>32</v>
      </c>
      <c r="H47" s="5" t="s">
        <v>40</v>
      </c>
      <c r="I47" s="19" t="s">
        <v>87</v>
      </c>
      <c r="J47" s="5"/>
      <c r="K47" s="5"/>
      <c r="L47" s="5"/>
      <c r="M47" s="5"/>
      <c r="N47" s="5"/>
      <c r="O47" s="5"/>
      <c r="P47" s="6"/>
      <c r="Q47" s="5"/>
      <c r="R47" s="6"/>
    </row>
    <row r="48" spans="2:18" x14ac:dyDescent="0.25">
      <c r="B48" s="4"/>
      <c r="C48" s="4"/>
      <c r="D48" s="7">
        <f>IF('D, M, R &amp; W Rates'!I15&gt;'D, M, R &amp; W Rates'!I13,'D, M, R &amp; W Rates'!I13,'D, M, R &amp; W Rates'!I15)</f>
        <v>0</v>
      </c>
      <c r="E48" s="5"/>
      <c r="F48" s="8">
        <f>ROUNDUP((D48/1000),0)</f>
        <v>0</v>
      </c>
      <c r="G48" s="5">
        <v>1</v>
      </c>
      <c r="H48" s="5">
        <f>IF(F48&gt;0,'DMRW Rate Table'!E6,0)</f>
        <v>0</v>
      </c>
      <c r="I48" s="6">
        <f>H48*1.2</f>
        <v>0</v>
      </c>
      <c r="J48" s="5"/>
      <c r="K48" s="5"/>
      <c r="L48" s="5"/>
      <c r="M48" s="5"/>
      <c r="N48" s="5"/>
      <c r="O48" s="5"/>
      <c r="P48" s="6"/>
      <c r="Q48" s="5"/>
      <c r="R48" s="6"/>
    </row>
    <row r="49" spans="2:18" x14ac:dyDescent="0.25">
      <c r="B49" s="4"/>
      <c r="C49" s="4"/>
      <c r="D49" s="4"/>
      <c r="E49" s="5" t="s">
        <v>41</v>
      </c>
      <c r="F49" s="5" t="s">
        <v>2</v>
      </c>
      <c r="G49" s="5" t="s">
        <v>7</v>
      </c>
      <c r="H49" s="5" t="s">
        <v>8</v>
      </c>
      <c r="I49" s="6"/>
      <c r="J49" s="5"/>
      <c r="K49" s="5"/>
      <c r="L49" s="5"/>
      <c r="M49" s="5"/>
      <c r="N49" s="5"/>
      <c r="O49" s="5"/>
      <c r="P49" s="6"/>
      <c r="Q49" s="5"/>
      <c r="R49" s="6"/>
    </row>
    <row r="50" spans="2:18" x14ac:dyDescent="0.25">
      <c r="B50" s="4"/>
      <c r="C50" s="4"/>
      <c r="D50" s="4"/>
      <c r="E50" s="5"/>
      <c r="F50" s="8">
        <f>F48-1</f>
        <v>-1</v>
      </c>
      <c r="G50" s="8">
        <f>IF(F50&gt;99,99,F50)</f>
        <v>-1</v>
      </c>
      <c r="H50" s="5">
        <f>IF(G50&gt;0,G50*'DMRW Rate Table'!E7,0)</f>
        <v>0</v>
      </c>
      <c r="I50" s="6">
        <f t="shared" ref="I50:I62" si="2">H50*1.2</f>
        <v>0</v>
      </c>
      <c r="J50" s="5"/>
      <c r="K50" s="5"/>
      <c r="L50" s="5"/>
      <c r="M50" s="5"/>
      <c r="N50" s="5"/>
      <c r="O50" s="5"/>
      <c r="P50" s="6"/>
      <c r="Q50" s="5"/>
      <c r="R50" s="6"/>
    </row>
    <row r="51" spans="2:18" x14ac:dyDescent="0.25">
      <c r="B51" s="4"/>
      <c r="C51" s="4"/>
      <c r="D51" s="4"/>
      <c r="E51" s="5" t="s">
        <v>42</v>
      </c>
      <c r="F51" s="5" t="s">
        <v>9</v>
      </c>
      <c r="G51" s="5" t="s">
        <v>7</v>
      </c>
      <c r="H51" s="5" t="s">
        <v>10</v>
      </c>
      <c r="I51" s="6"/>
      <c r="J51" s="5"/>
      <c r="K51" s="5"/>
      <c r="L51" s="5"/>
      <c r="M51" s="5"/>
      <c r="N51" s="5"/>
      <c r="O51" s="5"/>
      <c r="P51" s="6"/>
      <c r="Q51" s="5"/>
      <c r="R51" s="6"/>
    </row>
    <row r="52" spans="2:18" x14ac:dyDescent="0.25">
      <c r="B52" s="4"/>
      <c r="C52" s="4"/>
      <c r="D52" s="4"/>
      <c r="E52" s="5"/>
      <c r="F52" s="8">
        <f>F50-99</f>
        <v>-100</v>
      </c>
      <c r="G52" s="5">
        <f>IF(F52&gt;400,400,F52)</f>
        <v>-100</v>
      </c>
      <c r="H52" s="5">
        <f>IF(G52&gt;0,G52*'DMRW Rate Table'!E8,0)</f>
        <v>0</v>
      </c>
      <c r="I52" s="6">
        <f t="shared" si="2"/>
        <v>0</v>
      </c>
      <c r="J52" s="5"/>
      <c r="K52" s="5"/>
      <c r="L52" s="5"/>
      <c r="M52" s="5"/>
      <c r="N52" s="5"/>
      <c r="O52" s="5"/>
      <c r="P52" s="6"/>
      <c r="Q52" s="5"/>
      <c r="R52" s="6"/>
    </row>
    <row r="53" spans="2:18" x14ac:dyDescent="0.25">
      <c r="B53" s="4"/>
      <c r="C53" s="4"/>
      <c r="D53" s="4"/>
      <c r="E53" s="5" t="s">
        <v>43</v>
      </c>
      <c r="F53" s="5" t="s">
        <v>16</v>
      </c>
      <c r="G53" s="5" t="s">
        <v>7</v>
      </c>
      <c r="H53" s="5" t="s">
        <v>21</v>
      </c>
      <c r="I53" s="6"/>
      <c r="J53" s="5"/>
      <c r="K53" s="5"/>
      <c r="L53" s="5"/>
      <c r="M53" s="5"/>
      <c r="N53" s="5"/>
      <c r="O53" s="5"/>
      <c r="P53" s="6"/>
      <c r="Q53" s="5"/>
      <c r="R53" s="6"/>
    </row>
    <row r="54" spans="2:18" x14ac:dyDescent="0.25">
      <c r="B54" s="4"/>
      <c r="C54" s="4"/>
      <c r="D54" s="4"/>
      <c r="E54" s="5"/>
      <c r="F54" s="8">
        <f>F52-400</f>
        <v>-500</v>
      </c>
      <c r="G54" s="5">
        <f>IF(F54&gt;500,500,F54)</f>
        <v>-500</v>
      </c>
      <c r="H54" s="5">
        <f>IF(G54&gt;0,G54*'DMRW Rate Table'!E9,0)</f>
        <v>0</v>
      </c>
      <c r="I54" s="6">
        <f t="shared" si="2"/>
        <v>0</v>
      </c>
      <c r="J54" s="5"/>
      <c r="K54" s="5"/>
      <c r="L54" s="5"/>
      <c r="M54" s="5"/>
      <c r="N54" s="5"/>
      <c r="O54" s="5"/>
      <c r="P54" s="6"/>
      <c r="Q54" s="5"/>
      <c r="R54" s="6"/>
    </row>
    <row r="55" spans="2:18" x14ac:dyDescent="0.25">
      <c r="B55" s="4"/>
      <c r="C55" s="4"/>
      <c r="D55" s="4"/>
      <c r="E55" s="5" t="s">
        <v>26</v>
      </c>
      <c r="F55" s="5" t="s">
        <v>20</v>
      </c>
      <c r="G55" s="5" t="s">
        <v>7</v>
      </c>
      <c r="H55" s="5" t="s">
        <v>22</v>
      </c>
      <c r="I55" s="6"/>
      <c r="J55" s="5"/>
      <c r="K55" s="5"/>
      <c r="L55" s="5"/>
      <c r="M55" s="5"/>
      <c r="N55" s="5"/>
      <c r="O55" s="5"/>
      <c r="P55" s="6"/>
      <c r="Q55" s="5"/>
      <c r="R55" s="6"/>
    </row>
    <row r="56" spans="2:18" x14ac:dyDescent="0.25">
      <c r="B56" s="4"/>
      <c r="C56" s="4"/>
      <c r="D56" s="4"/>
      <c r="E56" s="5"/>
      <c r="F56" s="8">
        <f>F54-500</f>
        <v>-1000</v>
      </c>
      <c r="G56" s="5">
        <f>IF(F56&gt;4000,4000,F56)</f>
        <v>-1000</v>
      </c>
      <c r="H56" s="5">
        <f>IF(G56&gt;0,G56*'DMRW Rate Table'!E10, 0)</f>
        <v>0</v>
      </c>
      <c r="I56" s="6">
        <f t="shared" si="2"/>
        <v>0</v>
      </c>
      <c r="J56" s="5"/>
      <c r="K56" s="5"/>
      <c r="L56" s="5"/>
      <c r="M56" s="5"/>
      <c r="N56" s="5"/>
      <c r="O56" s="5"/>
      <c r="P56" s="6"/>
      <c r="Q56" s="5"/>
      <c r="R56" s="6"/>
    </row>
    <row r="57" spans="2:18" x14ac:dyDescent="0.25">
      <c r="B57" s="4"/>
      <c r="C57" s="4"/>
      <c r="D57" s="4"/>
      <c r="E57" s="5" t="s">
        <v>25</v>
      </c>
      <c r="F57" s="5" t="s">
        <v>28</v>
      </c>
      <c r="G57" s="5" t="s">
        <v>7</v>
      </c>
      <c r="H57" s="5" t="s">
        <v>29</v>
      </c>
      <c r="I57" s="6"/>
      <c r="J57" s="5"/>
      <c r="K57" s="5"/>
      <c r="L57" s="5"/>
      <c r="M57" s="5"/>
      <c r="N57" s="5"/>
      <c r="O57" s="5"/>
      <c r="P57" s="6"/>
      <c r="Q57" s="5"/>
      <c r="R57" s="6"/>
    </row>
    <row r="58" spans="2:18" x14ac:dyDescent="0.25">
      <c r="B58" s="4"/>
      <c r="C58" s="4"/>
      <c r="D58" s="4"/>
      <c r="E58" s="5"/>
      <c r="F58" s="8">
        <f>F56-4000</f>
        <v>-5000</v>
      </c>
      <c r="G58" s="5">
        <f>IF(F58&gt;5000,5000,F58)</f>
        <v>-5000</v>
      </c>
      <c r="H58" s="5">
        <f>IF(G58&gt;0,G58*'DMRW Rate Table'!E11,0)</f>
        <v>0</v>
      </c>
      <c r="I58" s="6">
        <f t="shared" si="2"/>
        <v>0</v>
      </c>
      <c r="J58" s="5"/>
      <c r="K58" s="5"/>
      <c r="L58" s="5"/>
      <c r="M58" s="5"/>
      <c r="N58" s="5"/>
      <c r="O58" s="5"/>
      <c r="P58" s="6"/>
      <c r="Q58" s="5"/>
      <c r="R58" s="6"/>
    </row>
    <row r="59" spans="2:18" x14ac:dyDescent="0.25">
      <c r="B59" s="4"/>
      <c r="C59" s="4"/>
      <c r="D59" s="4"/>
      <c r="E59" s="5" t="s">
        <v>27</v>
      </c>
      <c r="F59" s="5" t="s">
        <v>30</v>
      </c>
      <c r="G59" s="5" t="s">
        <v>7</v>
      </c>
      <c r="H59" s="5" t="s">
        <v>31</v>
      </c>
      <c r="I59" s="6"/>
      <c r="J59" s="5"/>
      <c r="K59" s="5"/>
      <c r="L59" s="5"/>
      <c r="M59" s="5"/>
      <c r="N59" s="5"/>
      <c r="O59" s="5"/>
      <c r="P59" s="6"/>
      <c r="Q59" s="5"/>
      <c r="R59" s="6"/>
    </row>
    <row r="60" spans="2:18" x14ac:dyDescent="0.25">
      <c r="B60" s="4"/>
      <c r="C60" s="4"/>
      <c r="D60" s="4"/>
      <c r="E60" s="5"/>
      <c r="F60" s="8">
        <f>F58-5000</f>
        <v>-10000</v>
      </c>
      <c r="G60" s="8">
        <f>IF(F60&gt;5000,5000,F60)</f>
        <v>-10000</v>
      </c>
      <c r="H60" s="5">
        <f>IF(G60&gt;0,G60*'DMRW Rate Table'!E12,0)</f>
        <v>0</v>
      </c>
      <c r="I60" s="6">
        <f t="shared" si="2"/>
        <v>0</v>
      </c>
      <c r="J60" s="5"/>
      <c r="K60" s="5"/>
      <c r="L60" s="5"/>
      <c r="M60" s="5"/>
      <c r="N60" s="5"/>
      <c r="O60" s="5"/>
      <c r="P60" s="6"/>
      <c r="Q60" s="5"/>
      <c r="R60" s="6"/>
    </row>
    <row r="61" spans="2:18" x14ac:dyDescent="0.25">
      <c r="B61" s="4"/>
      <c r="C61" s="4"/>
      <c r="D61" s="4"/>
      <c r="E61" s="5" t="s">
        <v>15</v>
      </c>
      <c r="F61" s="5" t="s">
        <v>44</v>
      </c>
      <c r="G61" s="5" t="s">
        <v>7</v>
      </c>
      <c r="H61" s="5" t="s">
        <v>45</v>
      </c>
      <c r="I61" s="6"/>
      <c r="J61" s="5"/>
      <c r="K61" s="5"/>
      <c r="L61" s="5"/>
      <c r="M61" s="5"/>
      <c r="N61" s="5"/>
      <c r="O61" s="5"/>
      <c r="P61" s="6"/>
      <c r="Q61" s="5"/>
      <c r="R61" s="6"/>
    </row>
    <row r="62" spans="2:18" x14ac:dyDescent="0.25">
      <c r="B62" s="4"/>
      <c r="C62" s="4"/>
      <c r="D62" s="4"/>
      <c r="E62" s="5"/>
      <c r="F62" s="8">
        <f>F60-5000</f>
        <v>-15000</v>
      </c>
      <c r="G62" s="8">
        <f>F62</f>
        <v>-15000</v>
      </c>
      <c r="H62" s="5">
        <f>IF(G62&gt;0,G62*'DMRW Rate Table'!E13,0)</f>
        <v>0</v>
      </c>
      <c r="I62" s="6">
        <f t="shared" si="2"/>
        <v>0</v>
      </c>
      <c r="J62" s="5"/>
      <c r="K62" s="5"/>
      <c r="L62" s="5"/>
      <c r="M62" s="5"/>
      <c r="N62" s="5"/>
      <c r="O62" s="5"/>
      <c r="P62" s="6"/>
      <c r="Q62" s="5"/>
      <c r="R62" s="6"/>
    </row>
    <row r="63" spans="2:18" x14ac:dyDescent="0.25">
      <c r="B63" s="4"/>
      <c r="C63" s="4"/>
      <c r="D63" s="4"/>
      <c r="E63" s="5"/>
      <c r="F63" s="15" t="s">
        <v>33</v>
      </c>
      <c r="G63" s="15">
        <f>SUM(G48:G62)</f>
        <v>-31600</v>
      </c>
      <c r="H63" s="15">
        <f>IF(D48&gt;=1000,SUM(H48:H62),0)</f>
        <v>0</v>
      </c>
      <c r="I63" s="16">
        <f>IF(D48&gt;=1000,SUM(I48:I62),0)</f>
        <v>0</v>
      </c>
      <c r="J63" s="5"/>
      <c r="K63" s="5"/>
      <c r="L63" s="5"/>
      <c r="M63" s="5"/>
      <c r="N63" s="5"/>
      <c r="O63" s="5"/>
      <c r="P63" s="6"/>
      <c r="Q63" s="5"/>
      <c r="R63" s="6"/>
    </row>
    <row r="64" spans="2:18" x14ac:dyDescent="0.25">
      <c r="B64" s="4"/>
      <c r="C64" s="4"/>
      <c r="D64" s="9"/>
      <c r="E64" s="10"/>
      <c r="F64" s="11" t="s">
        <v>74</v>
      </c>
      <c r="G64" s="10"/>
      <c r="H64" s="11">
        <f>H63*0.3</f>
        <v>0</v>
      </c>
      <c r="I64" s="12">
        <f>I63*0.3</f>
        <v>0</v>
      </c>
      <c r="J64" s="5"/>
      <c r="K64" s="5"/>
      <c r="L64" s="5"/>
      <c r="M64" s="5"/>
      <c r="N64" s="5"/>
      <c r="O64" s="5"/>
      <c r="P64" s="6"/>
      <c r="Q64" s="5"/>
      <c r="R64" s="6"/>
    </row>
    <row r="65" spans="2:18" x14ac:dyDescent="0.25">
      <c r="B65" s="4"/>
      <c r="C65" s="9"/>
      <c r="D65" s="10"/>
      <c r="E65" s="10"/>
      <c r="F65" s="11"/>
      <c r="G65" s="10"/>
      <c r="H65" s="11"/>
      <c r="I65" s="11"/>
      <c r="J65" s="10"/>
      <c r="K65" s="10"/>
      <c r="L65" s="10"/>
      <c r="M65" s="10"/>
      <c r="N65" s="10"/>
      <c r="O65" s="10"/>
      <c r="P65" s="20"/>
      <c r="Q65" s="5"/>
      <c r="R65" s="6"/>
    </row>
    <row r="66" spans="2:18" x14ac:dyDescent="0.2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6"/>
    </row>
    <row r="67" spans="2:18" x14ac:dyDescent="0.25">
      <c r="B67" s="4"/>
      <c r="C67" s="1" t="s">
        <v>156</v>
      </c>
      <c r="D67" s="2"/>
      <c r="E67" s="2"/>
      <c r="F67" s="2"/>
      <c r="G67" s="2"/>
      <c r="H67" s="2"/>
      <c r="I67" s="2"/>
      <c r="J67" s="2"/>
      <c r="K67" s="3"/>
      <c r="L67" s="5"/>
      <c r="M67" s="5"/>
      <c r="N67" s="5"/>
      <c r="O67" s="5"/>
      <c r="P67" s="5"/>
      <c r="Q67" s="5"/>
      <c r="R67" s="6"/>
    </row>
    <row r="68" spans="2:18" x14ac:dyDescent="0.25">
      <c r="B68" s="4"/>
      <c r="C68" s="4"/>
      <c r="D68" s="1" t="s">
        <v>83</v>
      </c>
      <c r="E68" s="2"/>
      <c r="F68" s="2"/>
      <c r="G68" s="2"/>
      <c r="H68" s="2"/>
      <c r="I68" s="2"/>
      <c r="J68" s="3"/>
      <c r="K68" s="6"/>
      <c r="L68" s="5"/>
      <c r="M68" s="5"/>
      <c r="N68" s="5"/>
      <c r="O68" s="5"/>
      <c r="P68" s="5"/>
      <c r="Q68" s="5"/>
      <c r="R68" s="6"/>
    </row>
    <row r="69" spans="2:18" x14ac:dyDescent="0.25">
      <c r="B69" s="4"/>
      <c r="C69" s="4"/>
      <c r="D69" s="4"/>
      <c r="E69" s="5"/>
      <c r="F69" s="5"/>
      <c r="G69" s="5"/>
      <c r="H69" s="5"/>
      <c r="I69" s="5"/>
      <c r="J69" s="6"/>
      <c r="K69" s="6"/>
      <c r="L69" s="5"/>
      <c r="M69" s="5"/>
      <c r="N69" s="5"/>
      <c r="O69" s="5"/>
      <c r="P69" s="5"/>
      <c r="Q69" s="5"/>
      <c r="R69" s="6"/>
    </row>
    <row r="70" spans="2:18" x14ac:dyDescent="0.25">
      <c r="B70" s="4"/>
      <c r="C70" s="4"/>
      <c r="D70" s="4" t="s">
        <v>0</v>
      </c>
      <c r="E70" s="5"/>
      <c r="F70" s="5" t="s">
        <v>1</v>
      </c>
      <c r="G70" s="5" t="s">
        <v>32</v>
      </c>
      <c r="H70" s="5" t="s">
        <v>40</v>
      </c>
      <c r="I70" s="17" t="s">
        <v>87</v>
      </c>
      <c r="J70" s="6"/>
      <c r="K70" s="6"/>
      <c r="L70" s="5"/>
      <c r="M70" s="5"/>
      <c r="N70" s="5"/>
      <c r="O70" s="5"/>
      <c r="P70" s="5"/>
      <c r="Q70" s="5"/>
      <c r="R70" s="6"/>
    </row>
    <row r="71" spans="2:18" x14ac:dyDescent="0.25">
      <c r="B71" s="4"/>
      <c r="C71" s="4"/>
      <c r="D71" s="7">
        <f>'D, M, R &amp; W Rates'!T15</f>
        <v>0</v>
      </c>
      <c r="E71" s="5"/>
      <c r="F71" s="8">
        <f>ROUNDUP((D71/1000),0)</f>
        <v>0</v>
      </c>
      <c r="G71" s="5">
        <v>1</v>
      </c>
      <c r="H71" s="5">
        <f>'DMRW Rate Table'!E6</f>
        <v>200</v>
      </c>
      <c r="I71" s="5">
        <f>H71*1.2</f>
        <v>240</v>
      </c>
      <c r="J71" s="6"/>
      <c r="K71" s="6"/>
      <c r="L71" s="5"/>
      <c r="M71" s="5"/>
      <c r="N71" s="5"/>
      <c r="O71" s="5"/>
      <c r="P71" s="5"/>
      <c r="Q71" s="5"/>
      <c r="R71" s="6"/>
    </row>
    <row r="72" spans="2:18" x14ac:dyDescent="0.25">
      <c r="B72" s="4"/>
      <c r="C72" s="4"/>
      <c r="D72" s="4"/>
      <c r="E72" s="5" t="s">
        <v>41</v>
      </c>
      <c r="F72" s="5" t="s">
        <v>2</v>
      </c>
      <c r="G72" s="5" t="s">
        <v>7</v>
      </c>
      <c r="H72" s="5" t="s">
        <v>8</v>
      </c>
      <c r="I72" s="5"/>
      <c r="J72" s="6"/>
      <c r="K72" s="6"/>
      <c r="L72" s="5"/>
      <c r="M72" s="5"/>
      <c r="N72" s="5"/>
      <c r="O72" s="5"/>
      <c r="P72" s="5"/>
      <c r="Q72" s="5"/>
      <c r="R72" s="6"/>
    </row>
    <row r="73" spans="2:18" x14ac:dyDescent="0.25">
      <c r="B73" s="4"/>
      <c r="C73" s="4"/>
      <c r="D73" s="4"/>
      <c r="E73" s="5"/>
      <c r="F73" s="8">
        <f>F71-1</f>
        <v>-1</v>
      </c>
      <c r="G73" s="8">
        <f>IF(F73&gt;99,99,F73)</f>
        <v>-1</v>
      </c>
      <c r="H73" s="5">
        <f>IF(G73&gt;0,G73*'DMRW Rate Table'!E7,0)</f>
        <v>0</v>
      </c>
      <c r="I73" s="5">
        <f t="shared" ref="I73" si="3">H73*1.2</f>
        <v>0</v>
      </c>
      <c r="J73" s="6"/>
      <c r="K73" s="6"/>
      <c r="L73" s="5"/>
      <c r="M73" s="5"/>
      <c r="N73" s="5"/>
      <c r="O73" s="5"/>
      <c r="P73" s="5"/>
      <c r="Q73" s="5"/>
      <c r="R73" s="6"/>
    </row>
    <row r="74" spans="2:18" x14ac:dyDescent="0.25">
      <c r="B74" s="4"/>
      <c r="C74" s="4"/>
      <c r="D74" s="4"/>
      <c r="E74" s="5" t="s">
        <v>42</v>
      </c>
      <c r="F74" s="5" t="s">
        <v>9</v>
      </c>
      <c r="G74" s="5" t="s">
        <v>7</v>
      </c>
      <c r="H74" s="5" t="s">
        <v>10</v>
      </c>
      <c r="I74" s="5"/>
      <c r="J74" s="6"/>
      <c r="K74" s="6"/>
      <c r="L74" s="5"/>
      <c r="M74" s="5"/>
      <c r="N74" s="5"/>
      <c r="O74" s="5"/>
      <c r="P74" s="5"/>
      <c r="Q74" s="5"/>
      <c r="R74" s="6"/>
    </row>
    <row r="75" spans="2:18" x14ac:dyDescent="0.25">
      <c r="B75" s="4"/>
      <c r="C75" s="4"/>
      <c r="D75" s="4" t="s">
        <v>53</v>
      </c>
      <c r="E75" s="5"/>
      <c r="F75" s="8">
        <f>F73-99</f>
        <v>-100</v>
      </c>
      <c r="G75" s="5">
        <f>IF(F75&gt;400,400,F75)</f>
        <v>-100</v>
      </c>
      <c r="H75" s="5">
        <f>IF(G75&gt;0,G75*'DMRW Rate Table'!E8,0)</f>
        <v>0</v>
      </c>
      <c r="I75" s="5">
        <f t="shared" ref="I75" si="4">H75*1.2</f>
        <v>0</v>
      </c>
      <c r="J75" s="6"/>
      <c r="K75" s="6"/>
      <c r="L75" s="5"/>
      <c r="M75" s="5"/>
      <c r="N75" s="5"/>
      <c r="O75" s="5"/>
      <c r="P75" s="5"/>
      <c r="Q75" s="5"/>
      <c r="R75" s="6"/>
    </row>
    <row r="76" spans="2:18" x14ac:dyDescent="0.25">
      <c r="B76" s="4"/>
      <c r="C76" s="4"/>
      <c r="D76" s="4">
        <f>IF(H86&lt;200,200,H86)</f>
        <v>200</v>
      </c>
      <c r="E76" s="5" t="s">
        <v>43</v>
      </c>
      <c r="F76" s="5" t="s">
        <v>16</v>
      </c>
      <c r="G76" s="5" t="s">
        <v>7</v>
      </c>
      <c r="H76" s="5" t="s">
        <v>21</v>
      </c>
      <c r="I76" s="5"/>
      <c r="J76" s="6"/>
      <c r="K76" s="6"/>
      <c r="L76" s="5"/>
      <c r="M76" s="5"/>
      <c r="N76" s="5"/>
      <c r="O76" s="5"/>
      <c r="P76" s="5"/>
      <c r="Q76" s="5"/>
      <c r="R76" s="6"/>
    </row>
    <row r="77" spans="2:18" x14ac:dyDescent="0.25">
      <c r="B77" s="4"/>
      <c r="C77" s="4"/>
      <c r="D77" s="4" t="s">
        <v>52</v>
      </c>
      <c r="E77" s="5"/>
      <c r="F77" s="8">
        <f>F75-400</f>
        <v>-500</v>
      </c>
      <c r="G77" s="5">
        <f>IF(F77&gt;500,500,F77)</f>
        <v>-500</v>
      </c>
      <c r="H77" s="5">
        <f>IF(G77&gt;0,G77*'DMRW Rate Table'!E9,0)</f>
        <v>0</v>
      </c>
      <c r="I77" s="5">
        <f t="shared" ref="I77" si="5">H77*1.2</f>
        <v>0</v>
      </c>
      <c r="J77" s="6"/>
      <c r="K77" s="6"/>
      <c r="L77" s="5"/>
      <c r="M77" s="5"/>
      <c r="N77" s="5"/>
      <c r="O77" s="5"/>
      <c r="P77" s="5"/>
      <c r="Q77" s="5"/>
      <c r="R77" s="6"/>
    </row>
    <row r="78" spans="2:18" x14ac:dyDescent="0.25">
      <c r="B78" s="4"/>
      <c r="C78" s="4"/>
      <c r="D78" s="4">
        <f>D76*1.2</f>
        <v>240</v>
      </c>
      <c r="E78" s="5" t="s">
        <v>26</v>
      </c>
      <c r="F78" s="5" t="s">
        <v>20</v>
      </c>
      <c r="G78" s="5" t="s">
        <v>7</v>
      </c>
      <c r="H78" s="5" t="s">
        <v>22</v>
      </c>
      <c r="I78" s="5"/>
      <c r="J78" s="6"/>
      <c r="K78" s="6"/>
      <c r="L78" s="5"/>
      <c r="M78" s="5"/>
      <c r="N78" s="5"/>
      <c r="O78" s="5"/>
      <c r="P78" s="5"/>
      <c r="Q78" s="5"/>
      <c r="R78" s="6"/>
    </row>
    <row r="79" spans="2:18" x14ac:dyDescent="0.25">
      <c r="B79" s="4"/>
      <c r="C79" s="4"/>
      <c r="D79" s="4"/>
      <c r="E79" s="5"/>
      <c r="F79" s="8">
        <f>F77-500</f>
        <v>-1000</v>
      </c>
      <c r="G79" s="5">
        <f>IF(F79&gt;4000,4000,F79)</f>
        <v>-1000</v>
      </c>
      <c r="H79" s="5">
        <f>IF(G79&gt;0,G79*'DMRW Rate Table'!E10, 0)</f>
        <v>0</v>
      </c>
      <c r="I79" s="5">
        <f t="shared" ref="I79" si="6">H79*1.2</f>
        <v>0</v>
      </c>
      <c r="J79" s="6"/>
      <c r="K79" s="6"/>
      <c r="L79" s="5"/>
      <c r="M79" s="5"/>
      <c r="N79" s="5"/>
      <c r="O79" s="5"/>
      <c r="P79" s="5"/>
      <c r="Q79" s="5"/>
      <c r="R79" s="6"/>
    </row>
    <row r="80" spans="2:18" x14ac:dyDescent="0.25">
      <c r="B80" s="4"/>
      <c r="C80" s="4"/>
      <c r="D80" s="4"/>
      <c r="E80" s="5" t="s">
        <v>25</v>
      </c>
      <c r="F80" s="5" t="s">
        <v>28</v>
      </c>
      <c r="G80" s="5" t="s">
        <v>7</v>
      </c>
      <c r="H80" s="5" t="s">
        <v>29</v>
      </c>
      <c r="I80" s="5"/>
      <c r="J80" s="6"/>
      <c r="K80" s="6"/>
      <c r="L80" s="5"/>
      <c r="M80" s="5"/>
      <c r="N80" s="5"/>
      <c r="O80" s="5"/>
      <c r="P80" s="5"/>
      <c r="Q80" s="5"/>
      <c r="R80" s="6"/>
    </row>
    <row r="81" spans="2:18" x14ac:dyDescent="0.25">
      <c r="B81" s="4"/>
      <c r="C81" s="4"/>
      <c r="D81" s="4"/>
      <c r="E81" s="5"/>
      <c r="F81" s="8">
        <f>F79-4000</f>
        <v>-5000</v>
      </c>
      <c r="G81" s="5">
        <f>IF(F81&gt;5000,5000,F81)</f>
        <v>-5000</v>
      </c>
      <c r="H81" s="5">
        <f>IF(G81&gt;0,G81*'DMRW Rate Table'!E11,0)</f>
        <v>0</v>
      </c>
      <c r="I81" s="5">
        <f t="shared" ref="I81" si="7">H81*1.2</f>
        <v>0</v>
      </c>
      <c r="J81" s="6"/>
      <c r="K81" s="6"/>
      <c r="L81" s="5"/>
      <c r="M81" s="5"/>
      <c r="N81" s="5"/>
      <c r="O81" s="5"/>
      <c r="P81" s="5"/>
      <c r="Q81" s="5"/>
      <c r="R81" s="6"/>
    </row>
    <row r="82" spans="2:18" x14ac:dyDescent="0.25">
      <c r="B82" s="4"/>
      <c r="C82" s="4"/>
      <c r="D82" s="4"/>
      <c r="E82" s="5" t="s">
        <v>27</v>
      </c>
      <c r="F82" s="5" t="s">
        <v>30</v>
      </c>
      <c r="G82" s="5" t="s">
        <v>7</v>
      </c>
      <c r="H82" s="5" t="s">
        <v>31</v>
      </c>
      <c r="I82" s="5"/>
      <c r="J82" s="6"/>
      <c r="K82" s="6"/>
      <c r="L82" s="5"/>
      <c r="M82" s="5"/>
      <c r="N82" s="5"/>
      <c r="O82" s="5"/>
      <c r="P82" s="5"/>
      <c r="Q82" s="5"/>
      <c r="R82" s="6"/>
    </row>
    <row r="83" spans="2:18" x14ac:dyDescent="0.25">
      <c r="B83" s="4"/>
      <c r="C83" s="4"/>
      <c r="D83" s="4"/>
      <c r="E83" s="5"/>
      <c r="F83" s="8">
        <f>F81-5000</f>
        <v>-10000</v>
      </c>
      <c r="G83" s="8">
        <f>IF(F83&gt;5000,5000,F83)</f>
        <v>-10000</v>
      </c>
      <c r="H83" s="5">
        <f>IF(G83&gt;0,G83*'DMRW Rate Table'!E12,0)</f>
        <v>0</v>
      </c>
      <c r="I83" s="5">
        <f t="shared" ref="I83" si="8">H83*1.2</f>
        <v>0</v>
      </c>
      <c r="J83" s="6"/>
      <c r="K83" s="6"/>
      <c r="L83" s="5"/>
      <c r="M83" s="5"/>
      <c r="N83" s="5"/>
      <c r="O83" s="5"/>
      <c r="P83" s="5"/>
      <c r="Q83" s="5"/>
      <c r="R83" s="6"/>
    </row>
    <row r="84" spans="2:18" x14ac:dyDescent="0.25">
      <c r="B84" s="4"/>
      <c r="C84" s="4"/>
      <c r="D84" s="4"/>
      <c r="E84" s="5" t="s">
        <v>15</v>
      </c>
      <c r="F84" s="5" t="s">
        <v>44</v>
      </c>
      <c r="G84" s="5" t="s">
        <v>7</v>
      </c>
      <c r="H84" s="5" t="s">
        <v>45</v>
      </c>
      <c r="I84" s="5"/>
      <c r="J84" s="16"/>
      <c r="K84" s="6"/>
      <c r="L84" s="5"/>
      <c r="M84" s="5"/>
      <c r="N84" s="5"/>
      <c r="O84" s="5"/>
      <c r="P84" s="5"/>
      <c r="Q84" s="5"/>
      <c r="R84" s="6"/>
    </row>
    <row r="85" spans="2:18" x14ac:dyDescent="0.25">
      <c r="B85" s="4"/>
      <c r="C85" s="4"/>
      <c r="D85" s="4"/>
      <c r="E85" s="5"/>
      <c r="F85" s="8">
        <f>F83-5000</f>
        <v>-15000</v>
      </c>
      <c r="G85" s="8">
        <f>F85</f>
        <v>-15000</v>
      </c>
      <c r="H85" s="5">
        <f>IF(G85&gt;0,G85*'DMRW Rate Table'!E13,0)</f>
        <v>0</v>
      </c>
      <c r="I85" s="5">
        <f t="shared" ref="I85" si="9">H85*1.2</f>
        <v>0</v>
      </c>
      <c r="J85" s="6"/>
      <c r="K85" s="6"/>
      <c r="L85" s="5"/>
      <c r="M85" s="5"/>
      <c r="N85" s="5"/>
      <c r="O85" s="5"/>
      <c r="P85" s="5"/>
      <c r="Q85" s="5"/>
      <c r="R85" s="6"/>
    </row>
    <row r="86" spans="2:18" x14ac:dyDescent="0.25">
      <c r="B86" s="4"/>
      <c r="C86" s="4"/>
      <c r="D86" s="9"/>
      <c r="E86" s="10"/>
      <c r="F86" s="91" t="s">
        <v>33</v>
      </c>
      <c r="G86" s="91">
        <f>SUM(G71:G85)</f>
        <v>-31600</v>
      </c>
      <c r="H86" s="11">
        <f>IF(D71&gt;0,(SUM(H71:H85)*0.7),0)</f>
        <v>0</v>
      </c>
      <c r="I86" s="10"/>
      <c r="J86" s="20"/>
      <c r="K86" s="6"/>
      <c r="L86" s="5"/>
      <c r="M86" s="5"/>
      <c r="N86" s="5"/>
      <c r="O86" s="5"/>
      <c r="P86" s="5"/>
      <c r="Q86" s="5"/>
      <c r="R86" s="6"/>
    </row>
    <row r="87" spans="2:18" x14ac:dyDescent="0.25">
      <c r="B87" s="4"/>
      <c r="C87" s="4"/>
      <c r="D87" s="5"/>
      <c r="E87" s="5"/>
      <c r="F87" s="90"/>
      <c r="G87" s="90"/>
      <c r="H87" s="15"/>
      <c r="I87" s="5"/>
      <c r="J87" s="5"/>
      <c r="K87" s="6"/>
      <c r="L87" s="5"/>
      <c r="M87" s="5"/>
      <c r="N87" s="5"/>
      <c r="O87" s="5"/>
      <c r="P87" s="5"/>
      <c r="Q87" s="5"/>
      <c r="R87" s="6"/>
    </row>
    <row r="88" spans="2:18" x14ac:dyDescent="0.25">
      <c r="B88" s="4"/>
      <c r="C88" s="4"/>
      <c r="D88" s="1" t="s">
        <v>148</v>
      </c>
      <c r="E88" s="2"/>
      <c r="F88" s="2"/>
      <c r="G88" s="2"/>
      <c r="H88" s="2"/>
      <c r="I88" s="2"/>
      <c r="J88" s="3"/>
      <c r="K88" s="6"/>
      <c r="L88" s="5"/>
      <c r="M88" s="5"/>
      <c r="N88" s="5"/>
      <c r="O88" s="5"/>
      <c r="P88" s="5"/>
      <c r="Q88" s="5"/>
      <c r="R88" s="6"/>
    </row>
    <row r="89" spans="2:18" x14ac:dyDescent="0.25">
      <c r="B89" s="4"/>
      <c r="C89" s="4"/>
      <c r="D89" s="4"/>
      <c r="E89" s="5"/>
      <c r="F89" s="5"/>
      <c r="G89" s="5"/>
      <c r="H89" s="5"/>
      <c r="I89" s="5"/>
      <c r="J89" s="6"/>
      <c r="K89" s="6"/>
      <c r="L89" s="5"/>
      <c r="M89" s="5"/>
      <c r="N89" s="5"/>
      <c r="O89" s="5"/>
      <c r="P89" s="5"/>
      <c r="Q89" s="5"/>
      <c r="R89" s="6"/>
    </row>
    <row r="90" spans="2:18" x14ac:dyDescent="0.25">
      <c r="B90" s="4"/>
      <c r="C90" s="4"/>
      <c r="D90" s="4" t="s">
        <v>0</v>
      </c>
      <c r="E90" s="5"/>
      <c r="F90" s="5" t="s">
        <v>1</v>
      </c>
      <c r="G90" s="5" t="s">
        <v>32</v>
      </c>
      <c r="H90" s="5" t="s">
        <v>40</v>
      </c>
      <c r="I90" s="17" t="s">
        <v>87</v>
      </c>
      <c r="J90" s="6"/>
      <c r="K90" s="6"/>
      <c r="L90" s="5"/>
      <c r="M90" s="5"/>
      <c r="N90" s="5"/>
      <c r="O90" s="5"/>
      <c r="P90" s="5"/>
      <c r="Q90" s="5"/>
      <c r="R90" s="6"/>
    </row>
    <row r="91" spans="2:18" x14ac:dyDescent="0.25">
      <c r="B91" s="4"/>
      <c r="C91" s="4"/>
      <c r="D91" s="7">
        <f>'D, M, R &amp; W Rates'!T13</f>
        <v>0</v>
      </c>
      <c r="E91" s="5"/>
      <c r="F91" s="8">
        <f>ROUNDUP((D91/1000),0)</f>
        <v>0</v>
      </c>
      <c r="G91" s="5">
        <v>1</v>
      </c>
      <c r="H91" s="5">
        <f>'DMRW Rate Table'!E6</f>
        <v>200</v>
      </c>
      <c r="I91" s="5">
        <f>H91*1.2</f>
        <v>240</v>
      </c>
      <c r="J91" s="6"/>
      <c r="K91" s="6"/>
      <c r="L91" s="5"/>
      <c r="M91" s="5"/>
      <c r="N91" s="5"/>
      <c r="O91" s="5"/>
      <c r="P91" s="5"/>
      <c r="Q91" s="5"/>
      <c r="R91" s="6"/>
    </row>
    <row r="92" spans="2:18" x14ac:dyDescent="0.25">
      <c r="B92" s="4"/>
      <c r="C92" s="4"/>
      <c r="D92" s="4"/>
      <c r="E92" s="5" t="s">
        <v>41</v>
      </c>
      <c r="F92" s="5" t="s">
        <v>2</v>
      </c>
      <c r="G92" s="5" t="s">
        <v>7</v>
      </c>
      <c r="H92" s="5" t="s">
        <v>8</v>
      </c>
      <c r="I92" s="5"/>
      <c r="J92" s="6"/>
      <c r="K92" s="6"/>
      <c r="L92" s="5"/>
      <c r="M92" s="5"/>
      <c r="N92" s="5"/>
      <c r="O92" s="5"/>
      <c r="P92" s="5"/>
      <c r="Q92" s="5"/>
      <c r="R92" s="6"/>
    </row>
    <row r="93" spans="2:18" x14ac:dyDescent="0.25">
      <c r="B93" s="4"/>
      <c r="C93" s="4"/>
      <c r="D93" s="4"/>
      <c r="E93" s="5"/>
      <c r="F93" s="8">
        <f>F91-1</f>
        <v>-1</v>
      </c>
      <c r="G93" s="8">
        <f>IF(F93&gt;99,99,F93)</f>
        <v>-1</v>
      </c>
      <c r="H93" s="5">
        <f>IF(G93&gt;0,G93*'DMRW Rate Table'!E7,0)</f>
        <v>0</v>
      </c>
      <c r="I93" s="5">
        <f t="shared" ref="I93" si="10">H93*1.2</f>
        <v>0</v>
      </c>
      <c r="J93" s="6"/>
      <c r="K93" s="6"/>
      <c r="L93" s="5"/>
      <c r="M93" s="5"/>
      <c r="N93" s="5"/>
      <c r="O93" s="5"/>
      <c r="P93" s="5"/>
      <c r="Q93" s="5"/>
      <c r="R93" s="6"/>
    </row>
    <row r="94" spans="2:18" x14ac:dyDescent="0.25">
      <c r="B94" s="4"/>
      <c r="C94" s="4"/>
      <c r="D94" s="4"/>
      <c r="E94" s="5" t="s">
        <v>42</v>
      </c>
      <c r="F94" s="5" t="s">
        <v>9</v>
      </c>
      <c r="G94" s="5" t="s">
        <v>7</v>
      </c>
      <c r="H94" s="5" t="s">
        <v>10</v>
      </c>
      <c r="I94" s="5"/>
      <c r="J94" s="6"/>
      <c r="K94" s="6"/>
      <c r="L94" s="5"/>
      <c r="M94" s="5"/>
      <c r="N94" s="5"/>
      <c r="O94" s="5"/>
      <c r="P94" s="5"/>
      <c r="Q94" s="5"/>
      <c r="R94" s="6"/>
    </row>
    <row r="95" spans="2:18" x14ac:dyDescent="0.25">
      <c r="B95" s="4"/>
      <c r="C95" s="4"/>
      <c r="D95" s="4" t="s">
        <v>53</v>
      </c>
      <c r="E95" s="5"/>
      <c r="F95" s="8">
        <f>F93-99</f>
        <v>-100</v>
      </c>
      <c r="G95" s="5">
        <f>IF(F95&gt;400,400,F95)</f>
        <v>-100</v>
      </c>
      <c r="H95" s="5">
        <f>IF(G95&gt;0,G95*'DMRW Rate Table'!E8,0)</f>
        <v>0</v>
      </c>
      <c r="I95" s="5">
        <f t="shared" ref="I95" si="11">H95*1.2</f>
        <v>0</v>
      </c>
      <c r="J95" s="6"/>
      <c r="K95" s="6"/>
      <c r="L95" s="5"/>
      <c r="M95" s="5"/>
      <c r="N95" s="5"/>
      <c r="O95" s="5"/>
      <c r="P95" s="5"/>
      <c r="Q95" s="5"/>
      <c r="R95" s="6"/>
    </row>
    <row r="96" spans="2:18" x14ac:dyDescent="0.25">
      <c r="B96" s="4"/>
      <c r="C96" s="4"/>
      <c r="D96" s="4">
        <f>IF(H106&lt;200,200,H106)</f>
        <v>200</v>
      </c>
      <c r="E96" s="5" t="s">
        <v>43</v>
      </c>
      <c r="F96" s="5" t="s">
        <v>16</v>
      </c>
      <c r="G96" s="5" t="s">
        <v>7</v>
      </c>
      <c r="H96" s="5" t="s">
        <v>21</v>
      </c>
      <c r="I96" s="5"/>
      <c r="J96" s="6"/>
      <c r="K96" s="6"/>
      <c r="L96" s="5"/>
      <c r="M96" s="5"/>
      <c r="N96" s="5"/>
      <c r="O96" s="5"/>
      <c r="P96" s="5"/>
      <c r="Q96" s="5"/>
      <c r="R96" s="6"/>
    </row>
    <row r="97" spans="2:18" x14ac:dyDescent="0.25">
      <c r="B97" s="4"/>
      <c r="C97" s="4"/>
      <c r="D97" s="4" t="s">
        <v>52</v>
      </c>
      <c r="E97" s="5"/>
      <c r="F97" s="8">
        <f>F95-400</f>
        <v>-500</v>
      </c>
      <c r="G97" s="5">
        <f>IF(F97&gt;500,500,F97)</f>
        <v>-500</v>
      </c>
      <c r="H97" s="5">
        <f>IF(G97&gt;0,G97*'DMRW Rate Table'!E9,0)</f>
        <v>0</v>
      </c>
      <c r="I97" s="5">
        <f t="shared" ref="I97" si="12">H97*1.2</f>
        <v>0</v>
      </c>
      <c r="J97" s="6"/>
      <c r="K97" s="6"/>
      <c r="L97" s="5"/>
      <c r="M97" s="5"/>
      <c r="N97" s="5"/>
      <c r="O97" s="5"/>
      <c r="P97" s="5"/>
      <c r="Q97" s="5"/>
      <c r="R97" s="6"/>
    </row>
    <row r="98" spans="2:18" x14ac:dyDescent="0.25">
      <c r="B98" s="4"/>
      <c r="C98" s="4"/>
      <c r="D98" s="4">
        <f>D96*1.2</f>
        <v>240</v>
      </c>
      <c r="E98" s="5" t="s">
        <v>26</v>
      </c>
      <c r="F98" s="5" t="s">
        <v>20</v>
      </c>
      <c r="G98" s="5" t="s">
        <v>7</v>
      </c>
      <c r="H98" s="5" t="s">
        <v>22</v>
      </c>
      <c r="I98" s="5"/>
      <c r="J98" s="6"/>
      <c r="K98" s="6"/>
      <c r="L98" s="5"/>
      <c r="M98" s="5"/>
      <c r="N98" s="5"/>
      <c r="O98" s="5"/>
      <c r="P98" s="5"/>
      <c r="Q98" s="5"/>
      <c r="R98" s="6"/>
    </row>
    <row r="99" spans="2:18" x14ac:dyDescent="0.25">
      <c r="B99" s="4"/>
      <c r="C99" s="4"/>
      <c r="D99" s="4"/>
      <c r="E99" s="5"/>
      <c r="F99" s="8">
        <f>F97-500</f>
        <v>-1000</v>
      </c>
      <c r="G99" s="5">
        <f>IF(F99&gt;4000,4000,F99)</f>
        <v>-1000</v>
      </c>
      <c r="H99" s="5">
        <f>IF(G99&gt;0,G99*'DMRW Rate Table'!E10, 0)</f>
        <v>0</v>
      </c>
      <c r="I99" s="5">
        <f t="shared" ref="I99" si="13">H99*1.2</f>
        <v>0</v>
      </c>
      <c r="J99" s="6"/>
      <c r="K99" s="6"/>
      <c r="L99" s="5"/>
      <c r="M99" s="5"/>
      <c r="N99" s="5"/>
      <c r="O99" s="5"/>
      <c r="P99" s="5"/>
      <c r="Q99" s="5"/>
      <c r="R99" s="6"/>
    </row>
    <row r="100" spans="2:18" x14ac:dyDescent="0.25">
      <c r="B100" s="4"/>
      <c r="C100" s="4"/>
      <c r="D100" s="4"/>
      <c r="E100" s="5" t="s">
        <v>25</v>
      </c>
      <c r="F100" s="5" t="s">
        <v>28</v>
      </c>
      <c r="G100" s="5" t="s">
        <v>7</v>
      </c>
      <c r="H100" s="5" t="s">
        <v>29</v>
      </c>
      <c r="I100" s="5"/>
      <c r="J100" s="6"/>
      <c r="K100" s="6"/>
      <c r="L100" s="5"/>
      <c r="M100" s="5"/>
      <c r="N100" s="5"/>
      <c r="O100" s="5"/>
      <c r="P100" s="5"/>
      <c r="Q100" s="5"/>
      <c r="R100" s="6"/>
    </row>
    <row r="101" spans="2:18" x14ac:dyDescent="0.25">
      <c r="B101" s="4"/>
      <c r="C101" s="4"/>
      <c r="D101" s="4"/>
      <c r="E101" s="5"/>
      <c r="F101" s="8">
        <f>F99-4000</f>
        <v>-5000</v>
      </c>
      <c r="G101" s="5">
        <f>IF(F101&gt;5000,5000,F101)</f>
        <v>-5000</v>
      </c>
      <c r="H101" s="5">
        <f>IF(G101&gt;0,G101*'DMRW Rate Table'!E11,0)</f>
        <v>0</v>
      </c>
      <c r="I101" s="5">
        <f t="shared" ref="I101" si="14">H101*1.2</f>
        <v>0</v>
      </c>
      <c r="J101" s="6"/>
      <c r="K101" s="6"/>
      <c r="L101" s="5"/>
      <c r="M101" s="5"/>
      <c r="N101" s="5"/>
      <c r="O101" s="5"/>
      <c r="P101" s="5"/>
      <c r="Q101" s="5"/>
      <c r="R101" s="6"/>
    </row>
    <row r="102" spans="2:18" x14ac:dyDescent="0.25">
      <c r="B102" s="4"/>
      <c r="C102" s="4"/>
      <c r="D102" s="4"/>
      <c r="E102" s="5" t="s">
        <v>27</v>
      </c>
      <c r="F102" s="5" t="s">
        <v>30</v>
      </c>
      <c r="G102" s="5" t="s">
        <v>7</v>
      </c>
      <c r="H102" s="5" t="s">
        <v>31</v>
      </c>
      <c r="I102" s="5"/>
      <c r="J102" s="6"/>
      <c r="K102" s="6"/>
      <c r="L102" s="5"/>
      <c r="M102" s="5"/>
      <c r="N102" s="5"/>
      <c r="O102" s="5"/>
      <c r="P102" s="5"/>
      <c r="Q102" s="5"/>
      <c r="R102" s="6"/>
    </row>
    <row r="103" spans="2:18" x14ac:dyDescent="0.25">
      <c r="B103" s="4"/>
      <c r="C103" s="4"/>
      <c r="D103" s="4"/>
      <c r="E103" s="5"/>
      <c r="F103" s="8">
        <f>F101-5000</f>
        <v>-10000</v>
      </c>
      <c r="G103" s="8">
        <f>IF(F103&gt;5000,5000,F103)</f>
        <v>-10000</v>
      </c>
      <c r="H103" s="5">
        <f>IF(G103&gt;0,G103*'DMRW Rate Table'!E12,0)</f>
        <v>0</v>
      </c>
      <c r="I103" s="5">
        <f t="shared" ref="I103" si="15">H103*1.2</f>
        <v>0</v>
      </c>
      <c r="J103" s="6"/>
      <c r="K103" s="6"/>
      <c r="L103" s="5"/>
      <c r="M103" s="5"/>
      <c r="N103" s="5"/>
      <c r="O103" s="5"/>
      <c r="P103" s="5"/>
      <c r="Q103" s="5"/>
      <c r="R103" s="6"/>
    </row>
    <row r="104" spans="2:18" x14ac:dyDescent="0.25">
      <c r="B104" s="4"/>
      <c r="C104" s="4"/>
      <c r="D104" s="4"/>
      <c r="E104" s="5" t="s">
        <v>15</v>
      </c>
      <c r="F104" s="5" t="s">
        <v>44</v>
      </c>
      <c r="G104" s="5" t="s">
        <v>7</v>
      </c>
      <c r="H104" s="5" t="s">
        <v>45</v>
      </c>
      <c r="I104" s="5"/>
      <c r="J104" s="16"/>
      <c r="K104" s="6"/>
      <c r="L104" s="5"/>
      <c r="M104" s="5"/>
      <c r="N104" s="5"/>
      <c r="O104" s="5"/>
      <c r="P104" s="5"/>
      <c r="Q104" s="5"/>
      <c r="R104" s="6"/>
    </row>
    <row r="105" spans="2:18" x14ac:dyDescent="0.25">
      <c r="B105" s="4"/>
      <c r="C105" s="4"/>
      <c r="D105" s="4"/>
      <c r="E105" s="5"/>
      <c r="F105" s="8">
        <f>F103-5000</f>
        <v>-15000</v>
      </c>
      <c r="G105" s="8">
        <f>F105</f>
        <v>-15000</v>
      </c>
      <c r="H105" s="5">
        <f>IF(G105&gt;0,G105*'DMRW Rate Table'!E13,0)</f>
        <v>0</v>
      </c>
      <c r="I105" s="5">
        <f t="shared" ref="I105" si="16">H105*1.2</f>
        <v>0</v>
      </c>
      <c r="J105" s="6"/>
      <c r="K105" s="6"/>
      <c r="L105" s="5"/>
      <c r="M105" s="5"/>
      <c r="N105" s="5"/>
      <c r="O105" s="5"/>
      <c r="P105" s="5"/>
      <c r="Q105" s="5"/>
      <c r="R105" s="6"/>
    </row>
    <row r="106" spans="2:18" x14ac:dyDescent="0.25">
      <c r="B106" s="4"/>
      <c r="C106" s="4"/>
      <c r="D106" s="9"/>
      <c r="E106" s="10"/>
      <c r="F106" s="91" t="s">
        <v>33</v>
      </c>
      <c r="G106" s="91">
        <f>SUM(G91:G105)</f>
        <v>-31600</v>
      </c>
      <c r="H106" s="11">
        <f>IF(D91&gt;0,(SUM(H91:H105)),0)</f>
        <v>0</v>
      </c>
      <c r="I106" s="10"/>
      <c r="J106" s="20"/>
      <c r="K106" s="6"/>
      <c r="L106" s="5"/>
      <c r="M106" s="5"/>
      <c r="N106" s="5"/>
      <c r="O106" s="5"/>
      <c r="P106" s="5"/>
      <c r="Q106" s="5"/>
      <c r="R106" s="6"/>
    </row>
    <row r="107" spans="2:18" x14ac:dyDescent="0.25">
      <c r="B107" s="4"/>
      <c r="C107" s="4"/>
      <c r="D107" s="5"/>
      <c r="E107" s="5"/>
      <c r="F107" s="90"/>
      <c r="G107" s="90"/>
      <c r="H107" s="15"/>
      <c r="I107" s="5"/>
      <c r="J107" s="5"/>
      <c r="K107" s="6"/>
      <c r="L107" s="5"/>
      <c r="M107" s="5"/>
      <c r="N107" s="5"/>
      <c r="O107" s="5"/>
      <c r="P107" s="5"/>
      <c r="Q107" s="5"/>
      <c r="R107" s="6"/>
    </row>
    <row r="108" spans="2:18" x14ac:dyDescent="0.25">
      <c r="B108" s="4"/>
      <c r="C108" s="4"/>
      <c r="D108" s="1" t="s">
        <v>148</v>
      </c>
      <c r="E108" s="2"/>
      <c r="F108" s="2"/>
      <c r="G108" s="2"/>
      <c r="H108" s="2"/>
      <c r="I108" s="2"/>
      <c r="J108" s="3"/>
      <c r="K108" s="6"/>
      <c r="L108" s="5"/>
      <c r="M108" s="5"/>
      <c r="N108" s="5"/>
      <c r="O108" s="5"/>
      <c r="P108" s="5"/>
      <c r="Q108" s="5"/>
      <c r="R108" s="6"/>
    </row>
    <row r="109" spans="2:18" x14ac:dyDescent="0.25">
      <c r="B109" s="4"/>
      <c r="C109" s="4"/>
      <c r="D109" s="4"/>
      <c r="E109" s="5"/>
      <c r="F109" s="5"/>
      <c r="G109" s="5"/>
      <c r="H109" s="5"/>
      <c r="I109" s="5"/>
      <c r="J109" s="6"/>
      <c r="K109" s="6"/>
      <c r="L109" s="5"/>
      <c r="M109" s="5"/>
      <c r="N109" s="5"/>
      <c r="O109" s="5"/>
      <c r="P109" s="5"/>
      <c r="Q109" s="5"/>
      <c r="R109" s="6"/>
    </row>
    <row r="110" spans="2:18" x14ac:dyDescent="0.25">
      <c r="B110" s="4"/>
      <c r="C110" s="4"/>
      <c r="D110" s="4" t="s">
        <v>0</v>
      </c>
      <c r="E110" s="5"/>
      <c r="F110" s="5" t="s">
        <v>1</v>
      </c>
      <c r="G110" s="5" t="s">
        <v>32</v>
      </c>
      <c r="H110" s="5" t="s">
        <v>40</v>
      </c>
      <c r="I110" s="17" t="s">
        <v>87</v>
      </c>
      <c r="J110" s="6"/>
      <c r="K110" s="6"/>
      <c r="L110" s="5"/>
      <c r="M110" s="5"/>
      <c r="N110" s="5"/>
      <c r="O110" s="5"/>
      <c r="P110" s="5"/>
      <c r="Q110" s="5"/>
      <c r="R110" s="6"/>
    </row>
    <row r="111" spans="2:18" x14ac:dyDescent="0.25">
      <c r="B111" s="4"/>
      <c r="C111" s="4"/>
      <c r="D111" s="7">
        <f>'D, M, R &amp; W Rates'!I17</f>
        <v>0</v>
      </c>
      <c r="E111" s="5"/>
      <c r="F111" s="8">
        <f>ROUNDUP((D111/1000),0)</f>
        <v>0</v>
      </c>
      <c r="G111" s="5">
        <v>1</v>
      </c>
      <c r="H111" s="5">
        <f>'DMRW Rate Table'!E6</f>
        <v>200</v>
      </c>
      <c r="I111" s="5">
        <f>H111*1.2</f>
        <v>240</v>
      </c>
      <c r="J111" s="6"/>
      <c r="K111" s="6"/>
      <c r="L111" s="5"/>
      <c r="M111" s="5"/>
      <c r="N111" s="5"/>
      <c r="O111" s="5"/>
      <c r="P111" s="5"/>
      <c r="Q111" s="5"/>
      <c r="R111" s="6"/>
    </row>
    <row r="112" spans="2:18" x14ac:dyDescent="0.25">
      <c r="B112" s="4"/>
      <c r="C112" s="4"/>
      <c r="D112" s="4"/>
      <c r="E112" s="5" t="s">
        <v>41</v>
      </c>
      <c r="F112" s="5" t="s">
        <v>2</v>
      </c>
      <c r="G112" s="5" t="s">
        <v>7</v>
      </c>
      <c r="H112" s="5" t="s">
        <v>8</v>
      </c>
      <c r="I112" s="5"/>
      <c r="J112" s="6"/>
      <c r="K112" s="6"/>
      <c r="L112" s="5"/>
      <c r="M112" s="5"/>
      <c r="N112" s="5"/>
      <c r="O112" s="5"/>
      <c r="P112" s="5"/>
      <c r="Q112" s="5"/>
      <c r="R112" s="6"/>
    </row>
    <row r="113" spans="2:18" x14ac:dyDescent="0.25">
      <c r="B113" s="4"/>
      <c r="C113" s="4"/>
      <c r="D113" s="4"/>
      <c r="E113" s="5"/>
      <c r="F113" s="8">
        <f>F111-1</f>
        <v>-1</v>
      </c>
      <c r="G113" s="8">
        <f>IF(F113&gt;99,99,F113)</f>
        <v>-1</v>
      </c>
      <c r="H113" s="5">
        <f>IF(G113&gt;0,G113*'DMRW Rate Table'!E7,0)</f>
        <v>0</v>
      </c>
      <c r="I113" s="5">
        <f t="shared" ref="I113" si="17">H113*1.2</f>
        <v>0</v>
      </c>
      <c r="J113" s="6"/>
      <c r="K113" s="6"/>
      <c r="L113" s="5"/>
      <c r="M113" s="5"/>
      <c r="N113" s="5"/>
      <c r="O113" s="5"/>
      <c r="P113" s="5"/>
      <c r="Q113" s="5"/>
      <c r="R113" s="6"/>
    </row>
    <row r="114" spans="2:18" x14ac:dyDescent="0.25">
      <c r="B114" s="4"/>
      <c r="C114" s="4"/>
      <c r="D114" s="4"/>
      <c r="E114" s="5" t="s">
        <v>42</v>
      </c>
      <c r="F114" s="5" t="s">
        <v>9</v>
      </c>
      <c r="G114" s="5" t="s">
        <v>7</v>
      </c>
      <c r="H114" s="5" t="s">
        <v>10</v>
      </c>
      <c r="I114" s="5"/>
      <c r="J114" s="6"/>
      <c r="K114" s="6"/>
      <c r="L114" s="5"/>
      <c r="M114" s="5"/>
      <c r="N114" s="5"/>
      <c r="O114" s="5"/>
      <c r="P114" s="5"/>
      <c r="Q114" s="5"/>
      <c r="R114" s="6"/>
    </row>
    <row r="115" spans="2:18" x14ac:dyDescent="0.25">
      <c r="B115" s="4"/>
      <c r="C115" s="4"/>
      <c r="D115" s="4" t="s">
        <v>53</v>
      </c>
      <c r="E115" s="5"/>
      <c r="F115" s="8">
        <f>F113-99</f>
        <v>-100</v>
      </c>
      <c r="G115" s="5">
        <f>IF(F115&gt;400,400,F115)</f>
        <v>-100</v>
      </c>
      <c r="H115" s="5">
        <f>IF(G115&gt;0,G115*'DMRW Rate Table'!E8,0)</f>
        <v>0</v>
      </c>
      <c r="I115" s="5">
        <f t="shared" ref="I115" si="18">H115*1.2</f>
        <v>0</v>
      </c>
      <c r="J115" s="6"/>
      <c r="K115" s="6"/>
      <c r="L115" s="5"/>
      <c r="M115" s="5"/>
      <c r="N115" s="5"/>
      <c r="O115" s="5"/>
      <c r="P115" s="5"/>
      <c r="Q115" s="5"/>
      <c r="R115" s="6"/>
    </row>
    <row r="116" spans="2:18" x14ac:dyDescent="0.25">
      <c r="B116" s="4"/>
      <c r="C116" s="4"/>
      <c r="D116" s="4">
        <f>IF(H126&lt;200,200,H126)</f>
        <v>200</v>
      </c>
      <c r="E116" s="5" t="s">
        <v>43</v>
      </c>
      <c r="F116" s="5" t="s">
        <v>16</v>
      </c>
      <c r="G116" s="5" t="s">
        <v>7</v>
      </c>
      <c r="H116" s="5" t="s">
        <v>21</v>
      </c>
      <c r="I116" s="5"/>
      <c r="J116" s="6"/>
      <c r="K116" s="6"/>
      <c r="L116" s="5"/>
      <c r="M116" s="5"/>
      <c r="N116" s="5"/>
      <c r="O116" s="5"/>
      <c r="P116" s="5"/>
      <c r="Q116" s="5"/>
      <c r="R116" s="6"/>
    </row>
    <row r="117" spans="2:18" x14ac:dyDescent="0.25">
      <c r="B117" s="4"/>
      <c r="C117" s="4"/>
      <c r="D117" s="4" t="s">
        <v>52</v>
      </c>
      <c r="E117" s="5"/>
      <c r="F117" s="8">
        <f>F115-400</f>
        <v>-500</v>
      </c>
      <c r="G117" s="5">
        <f>IF(F117&gt;500,500,F117)</f>
        <v>-500</v>
      </c>
      <c r="H117" s="5">
        <f>IF(G117&gt;0,G117*'DMRW Rate Table'!E9,0)</f>
        <v>0</v>
      </c>
      <c r="I117" s="5">
        <f t="shared" ref="I117" si="19">H117*1.2</f>
        <v>0</v>
      </c>
      <c r="J117" s="6"/>
      <c r="K117" s="6"/>
      <c r="L117" s="5"/>
      <c r="M117" s="5"/>
      <c r="N117" s="5"/>
      <c r="O117" s="5"/>
      <c r="P117" s="5"/>
      <c r="Q117" s="5"/>
      <c r="R117" s="6"/>
    </row>
    <row r="118" spans="2:18" x14ac:dyDescent="0.25">
      <c r="B118" s="4"/>
      <c r="C118" s="4"/>
      <c r="D118" s="4">
        <f>D116*1.2</f>
        <v>240</v>
      </c>
      <c r="E118" s="5" t="s">
        <v>26</v>
      </c>
      <c r="F118" s="5" t="s">
        <v>20</v>
      </c>
      <c r="G118" s="5" t="s">
        <v>7</v>
      </c>
      <c r="H118" s="5" t="s">
        <v>22</v>
      </c>
      <c r="I118" s="5"/>
      <c r="J118" s="6"/>
      <c r="K118" s="6"/>
      <c r="L118" s="5"/>
      <c r="M118" s="5"/>
      <c r="N118" s="5"/>
      <c r="O118" s="5"/>
      <c r="P118" s="5"/>
      <c r="Q118" s="5"/>
      <c r="R118" s="6"/>
    </row>
    <row r="119" spans="2:18" x14ac:dyDescent="0.25">
      <c r="B119" s="4"/>
      <c r="C119" s="4"/>
      <c r="D119" s="4"/>
      <c r="E119" s="5"/>
      <c r="F119" s="8">
        <f>F117-500</f>
        <v>-1000</v>
      </c>
      <c r="G119" s="5">
        <f>IF(F119&gt;4000,4000,F119)</f>
        <v>-1000</v>
      </c>
      <c r="H119" s="5">
        <f>IF(G119&gt;0,G119*'DMRW Rate Table'!E10, 0)</f>
        <v>0</v>
      </c>
      <c r="I119" s="5">
        <f t="shared" ref="I119" si="20">H119*1.2</f>
        <v>0</v>
      </c>
      <c r="J119" s="6"/>
      <c r="K119" s="6"/>
      <c r="L119" s="5"/>
      <c r="M119" s="5"/>
      <c r="N119" s="5"/>
      <c r="O119" s="5"/>
      <c r="P119" s="5"/>
      <c r="Q119" s="5"/>
      <c r="R119" s="6"/>
    </row>
    <row r="120" spans="2:18" x14ac:dyDescent="0.25">
      <c r="B120" s="4"/>
      <c r="C120" s="4"/>
      <c r="D120" s="4"/>
      <c r="E120" s="5" t="s">
        <v>25</v>
      </c>
      <c r="F120" s="5" t="s">
        <v>28</v>
      </c>
      <c r="G120" s="5" t="s">
        <v>7</v>
      </c>
      <c r="H120" s="5" t="s">
        <v>29</v>
      </c>
      <c r="I120" s="5"/>
      <c r="J120" s="6"/>
      <c r="K120" s="6"/>
      <c r="L120" s="5"/>
      <c r="M120" s="5"/>
      <c r="N120" s="5"/>
      <c r="O120" s="5"/>
      <c r="P120" s="5"/>
      <c r="Q120" s="5"/>
      <c r="R120" s="6"/>
    </row>
    <row r="121" spans="2:18" x14ac:dyDescent="0.25">
      <c r="B121" s="4"/>
      <c r="C121" s="4"/>
      <c r="D121" s="4"/>
      <c r="E121" s="5"/>
      <c r="F121" s="8">
        <f>F119-4000</f>
        <v>-5000</v>
      </c>
      <c r="G121" s="5">
        <f>IF(F121&gt;5000,5000,F121)</f>
        <v>-5000</v>
      </c>
      <c r="H121" s="5">
        <f>IF(G121&gt;0,G121*'DMRW Rate Table'!E11,0)</f>
        <v>0</v>
      </c>
      <c r="I121" s="5">
        <f t="shared" ref="I121" si="21">H121*1.2</f>
        <v>0</v>
      </c>
      <c r="J121" s="6"/>
      <c r="K121" s="6"/>
      <c r="L121" s="5"/>
      <c r="M121" s="5"/>
      <c r="N121" s="5"/>
      <c r="O121" s="5"/>
      <c r="P121" s="5"/>
      <c r="Q121" s="5"/>
      <c r="R121" s="6"/>
    </row>
    <row r="122" spans="2:18" x14ac:dyDescent="0.25">
      <c r="B122" s="4"/>
      <c r="C122" s="4"/>
      <c r="D122" s="4"/>
      <c r="E122" s="5" t="s">
        <v>27</v>
      </c>
      <c r="F122" s="5" t="s">
        <v>30</v>
      </c>
      <c r="G122" s="5" t="s">
        <v>7</v>
      </c>
      <c r="H122" s="5" t="s">
        <v>31</v>
      </c>
      <c r="I122" s="5"/>
      <c r="J122" s="6"/>
      <c r="K122" s="6"/>
      <c r="L122" s="5"/>
      <c r="M122" s="5"/>
      <c r="N122" s="5"/>
      <c r="O122" s="5"/>
      <c r="P122" s="5"/>
      <c r="Q122" s="5"/>
      <c r="R122" s="6"/>
    </row>
    <row r="123" spans="2:18" x14ac:dyDescent="0.25">
      <c r="B123" s="4"/>
      <c r="C123" s="4"/>
      <c r="D123" s="4"/>
      <c r="E123" s="5"/>
      <c r="F123" s="8">
        <f>F121-5000</f>
        <v>-10000</v>
      </c>
      <c r="G123" s="8">
        <f>IF(F123&gt;5000,5000,F123)</f>
        <v>-10000</v>
      </c>
      <c r="H123" s="5">
        <f>IF(G123&gt;0,G123*'DMRW Rate Table'!E12,0)</f>
        <v>0</v>
      </c>
      <c r="I123" s="5">
        <f t="shared" ref="I123" si="22">H123*1.2</f>
        <v>0</v>
      </c>
      <c r="J123" s="6"/>
      <c r="K123" s="6"/>
      <c r="L123" s="5"/>
      <c r="M123" s="5"/>
      <c r="N123" s="5"/>
      <c r="O123" s="5"/>
      <c r="P123" s="5"/>
      <c r="Q123" s="5"/>
      <c r="R123" s="6"/>
    </row>
    <row r="124" spans="2:18" x14ac:dyDescent="0.25">
      <c r="B124" s="4"/>
      <c r="C124" s="4"/>
      <c r="D124" s="4"/>
      <c r="E124" s="5" t="s">
        <v>15</v>
      </c>
      <c r="F124" s="5" t="s">
        <v>44</v>
      </c>
      <c r="G124" s="5" t="s">
        <v>7</v>
      </c>
      <c r="H124" s="5" t="s">
        <v>45</v>
      </c>
      <c r="I124" s="5"/>
      <c r="J124" s="16"/>
      <c r="K124" s="6"/>
      <c r="L124" s="5"/>
      <c r="M124" s="5"/>
      <c r="N124" s="5"/>
      <c r="O124" s="5"/>
      <c r="P124" s="5"/>
      <c r="Q124" s="5"/>
      <c r="R124" s="6"/>
    </row>
    <row r="125" spans="2:18" x14ac:dyDescent="0.25">
      <c r="B125" s="4"/>
      <c r="C125" s="4"/>
      <c r="D125" s="4"/>
      <c r="E125" s="5"/>
      <c r="F125" s="8">
        <f>F123-5000</f>
        <v>-15000</v>
      </c>
      <c r="G125" s="8">
        <f>F125</f>
        <v>-15000</v>
      </c>
      <c r="H125" s="5">
        <f>IF(G125&gt;0,G125*'DMRW Rate Table'!E13,0)</f>
        <v>0</v>
      </c>
      <c r="I125" s="5">
        <f t="shared" ref="I125" si="23">H125*1.2</f>
        <v>0</v>
      </c>
      <c r="J125" s="6"/>
      <c r="K125" s="6"/>
      <c r="L125" s="5"/>
      <c r="M125" s="5"/>
      <c r="N125" s="5"/>
      <c r="O125" s="5"/>
      <c r="P125" s="5"/>
      <c r="Q125" s="5"/>
      <c r="R125" s="6"/>
    </row>
    <row r="126" spans="2:18" x14ac:dyDescent="0.25">
      <c r="B126" s="4"/>
      <c r="C126" s="4"/>
      <c r="D126" s="9"/>
      <c r="E126" s="10"/>
      <c r="F126" s="91" t="s">
        <v>33</v>
      </c>
      <c r="G126" s="91">
        <f>SUM(G111:G125)</f>
        <v>-31600</v>
      </c>
      <c r="H126" s="11">
        <f>IF(D111&gt;0,(SUM(H111:H125)),0)</f>
        <v>0</v>
      </c>
      <c r="I126" s="10"/>
      <c r="J126" s="20"/>
      <c r="K126" s="6"/>
      <c r="L126" s="5"/>
      <c r="M126" s="5"/>
      <c r="N126" s="5"/>
      <c r="O126" s="5"/>
      <c r="P126" s="5"/>
      <c r="Q126" s="5"/>
      <c r="R126" s="6"/>
    </row>
    <row r="127" spans="2:18" x14ac:dyDescent="0.25">
      <c r="B127" s="4"/>
      <c r="C127" s="4"/>
      <c r="D127" s="5"/>
      <c r="E127" s="5"/>
      <c r="F127" s="90"/>
      <c r="G127" s="90"/>
      <c r="H127" s="15"/>
      <c r="I127" s="5"/>
      <c r="J127" s="5"/>
      <c r="K127" s="6"/>
      <c r="L127" s="5"/>
      <c r="M127" s="5"/>
      <c r="N127" s="5"/>
      <c r="O127" s="5"/>
      <c r="P127" s="5"/>
      <c r="Q127" s="5"/>
      <c r="R127" s="6"/>
    </row>
    <row r="128" spans="2:18" x14ac:dyDescent="0.25">
      <c r="B128" s="4"/>
      <c r="C128" s="4"/>
      <c r="D128" s="5"/>
      <c r="E128" s="5"/>
      <c r="F128" s="90"/>
      <c r="G128" s="90"/>
      <c r="H128" s="15"/>
      <c r="I128" s="5"/>
      <c r="J128" s="5"/>
      <c r="K128" s="6"/>
      <c r="L128" s="5"/>
      <c r="M128" s="5"/>
      <c r="N128" s="5"/>
      <c r="O128" s="5"/>
      <c r="P128" s="5"/>
      <c r="Q128" s="5"/>
      <c r="R128" s="6"/>
    </row>
    <row r="129" spans="2:18" ht="26.25" customHeight="1" x14ac:dyDescent="0.25">
      <c r="B129" s="4"/>
      <c r="C129" s="4"/>
      <c r="D129" s="13" t="s">
        <v>75</v>
      </c>
      <c r="E129" s="2"/>
      <c r="F129" s="2"/>
      <c r="G129" s="2"/>
      <c r="H129" s="2"/>
      <c r="I129" s="3"/>
      <c r="J129" s="5"/>
      <c r="K129" s="6"/>
      <c r="L129" s="5"/>
      <c r="M129" s="5"/>
      <c r="N129" s="5"/>
      <c r="O129" s="5"/>
      <c r="P129" s="5"/>
      <c r="Q129" s="5"/>
      <c r="R129" s="6"/>
    </row>
    <row r="130" spans="2:18" ht="26.25" customHeight="1" x14ac:dyDescent="0.25">
      <c r="B130" s="4"/>
      <c r="C130" s="4"/>
      <c r="D130" s="4"/>
      <c r="E130" s="5"/>
      <c r="F130" s="5"/>
      <c r="G130" s="5"/>
      <c r="H130" s="5"/>
      <c r="I130" s="6"/>
      <c r="J130" s="5"/>
      <c r="K130" s="6"/>
      <c r="L130" s="5"/>
      <c r="M130" s="5"/>
      <c r="N130" s="5"/>
      <c r="O130" s="5"/>
      <c r="P130" s="5"/>
      <c r="Q130" s="5"/>
      <c r="R130" s="6"/>
    </row>
    <row r="131" spans="2:18" ht="26.25" customHeight="1" x14ac:dyDescent="0.25">
      <c r="B131" s="4"/>
      <c r="C131" s="4"/>
      <c r="D131" s="4" t="s">
        <v>0</v>
      </c>
      <c r="E131" s="5"/>
      <c r="F131" s="5" t="s">
        <v>1</v>
      </c>
      <c r="G131" s="5" t="s">
        <v>32</v>
      </c>
      <c r="H131" s="5" t="s">
        <v>40</v>
      </c>
      <c r="I131" s="19" t="s">
        <v>87</v>
      </c>
      <c r="J131" s="5"/>
      <c r="K131" s="6"/>
      <c r="L131" s="5"/>
      <c r="M131" s="5"/>
      <c r="N131" s="5"/>
      <c r="O131" s="5"/>
      <c r="P131" s="5"/>
      <c r="Q131" s="5"/>
      <c r="R131" s="6"/>
    </row>
    <row r="132" spans="2:18" ht="26.25" customHeight="1" x14ac:dyDescent="0.25">
      <c r="B132" s="4"/>
      <c r="C132" s="9"/>
      <c r="D132" s="7">
        <f>IF('D, M, R &amp; W Rates'!T15&gt;'D, M, R &amp; W Rates'!T14,'D, M, R &amp; W Rates'!T14,'D, M, R &amp; W Rates'!T15)</f>
        <v>0</v>
      </c>
      <c r="E132" s="5"/>
      <c r="F132" s="8">
        <f>ROUNDUP((D132/1000),0)</f>
        <v>0</v>
      </c>
      <c r="G132" s="5">
        <v>1</v>
      </c>
      <c r="H132" s="5">
        <f>IF(F132&gt;0,'DMRW Rate Table'!E6,0)</f>
        <v>0</v>
      </c>
      <c r="I132" s="6">
        <f>H132*1.2</f>
        <v>0</v>
      </c>
      <c r="J132" s="5"/>
      <c r="K132" s="20"/>
      <c r="L132" s="5"/>
      <c r="M132" s="5"/>
      <c r="N132" s="5"/>
      <c r="O132" s="5"/>
      <c r="P132" s="5"/>
      <c r="Q132" s="5"/>
      <c r="R132" s="6"/>
    </row>
    <row r="133" spans="2:18" ht="26.25" customHeight="1" x14ac:dyDescent="0.25">
      <c r="B133" s="9"/>
      <c r="C133" s="10"/>
      <c r="D133" s="4"/>
      <c r="E133" s="5" t="s">
        <v>41</v>
      </c>
      <c r="F133" s="5" t="s">
        <v>2</v>
      </c>
      <c r="G133" s="5" t="s">
        <v>7</v>
      </c>
      <c r="H133" s="5" t="s">
        <v>8</v>
      </c>
      <c r="I133" s="6"/>
      <c r="J133" s="5"/>
      <c r="K133" s="10"/>
      <c r="L133" s="10"/>
      <c r="M133" s="10"/>
      <c r="N133" s="10"/>
      <c r="O133" s="10"/>
      <c r="P133" s="10"/>
      <c r="Q133" s="10"/>
      <c r="R133" s="20"/>
    </row>
    <row r="134" spans="2:18" s="23" customFormat="1" ht="26.25" customHeight="1" x14ac:dyDescent="0.25">
      <c r="D134" s="4"/>
      <c r="E134" s="5"/>
      <c r="F134" s="8">
        <f>F132-1</f>
        <v>-1</v>
      </c>
      <c r="G134" s="8">
        <f>IF(F134&gt;99,99,F134)</f>
        <v>-1</v>
      </c>
      <c r="H134" s="5">
        <f>IF(G134&gt;0,G134*'DMRW Rate Table'!E7,0)</f>
        <v>0</v>
      </c>
      <c r="I134" s="6">
        <f t="shared" ref="I134" si="24">H134*1.2</f>
        <v>0</v>
      </c>
      <c r="J134" s="5"/>
    </row>
    <row r="135" spans="2:18" x14ac:dyDescent="0.25">
      <c r="D135" s="4"/>
      <c r="E135" s="5" t="s">
        <v>42</v>
      </c>
      <c r="F135" s="5" t="s">
        <v>9</v>
      </c>
      <c r="G135" s="5" t="s">
        <v>7</v>
      </c>
      <c r="H135" s="5" t="s">
        <v>10</v>
      </c>
      <c r="I135" s="6"/>
      <c r="J135" s="5"/>
    </row>
    <row r="136" spans="2:18" x14ac:dyDescent="0.25">
      <c r="D136" s="4"/>
      <c r="E136" s="5"/>
      <c r="F136" s="8">
        <f>F134-99</f>
        <v>-100</v>
      </c>
      <c r="G136" s="5">
        <f>IF(F136&gt;400,400,F136)</f>
        <v>-100</v>
      </c>
      <c r="H136" s="5">
        <f>IF(G136&gt;0,G136*'DMRW Rate Table'!E8,0)</f>
        <v>0</v>
      </c>
      <c r="I136" s="6">
        <f t="shared" ref="I136" si="25">H136*1.2</f>
        <v>0</v>
      </c>
      <c r="J136" s="5"/>
    </row>
    <row r="137" spans="2:18" x14ac:dyDescent="0.25">
      <c r="D137" s="4"/>
      <c r="E137" s="5" t="s">
        <v>43</v>
      </c>
      <c r="F137" s="5" t="s">
        <v>16</v>
      </c>
      <c r="G137" s="5" t="s">
        <v>7</v>
      </c>
      <c r="H137" s="5" t="s">
        <v>21</v>
      </c>
      <c r="I137" s="6"/>
      <c r="J137" s="5"/>
    </row>
    <row r="138" spans="2:18" x14ac:dyDescent="0.25">
      <c r="D138" s="4"/>
      <c r="E138" s="5"/>
      <c r="F138" s="8">
        <f>F136-400</f>
        <v>-500</v>
      </c>
      <c r="G138" s="5">
        <f>IF(F138&gt;500,500,F138)</f>
        <v>-500</v>
      </c>
      <c r="H138" s="5">
        <f>IF(G138&gt;0,G138*'DMRW Rate Table'!E9,0)</f>
        <v>0</v>
      </c>
      <c r="I138" s="6">
        <f t="shared" ref="I138" si="26">H138*1.2</f>
        <v>0</v>
      </c>
      <c r="J138" s="5"/>
    </row>
    <row r="139" spans="2:18" x14ac:dyDescent="0.25">
      <c r="D139" s="4"/>
      <c r="E139" s="5" t="s">
        <v>26</v>
      </c>
      <c r="F139" s="5" t="s">
        <v>20</v>
      </c>
      <c r="G139" s="5" t="s">
        <v>7</v>
      </c>
      <c r="H139" s="5" t="s">
        <v>22</v>
      </c>
      <c r="I139" s="6"/>
      <c r="J139" s="5"/>
    </row>
    <row r="140" spans="2:18" x14ac:dyDescent="0.25">
      <c r="D140" s="4"/>
      <c r="E140" s="5"/>
      <c r="F140" s="8">
        <f>F138-500</f>
        <v>-1000</v>
      </c>
      <c r="G140" s="5">
        <f>IF(F140&gt;4000,4000,F140)</f>
        <v>-1000</v>
      </c>
      <c r="H140" s="5">
        <f>IF(G140&gt;0,G140*'DMRW Rate Table'!E10, 0)</f>
        <v>0</v>
      </c>
      <c r="I140" s="6">
        <f t="shared" ref="I140" si="27">H140*1.2</f>
        <v>0</v>
      </c>
      <c r="J140" s="5"/>
    </row>
    <row r="141" spans="2:18" x14ac:dyDescent="0.25">
      <c r="D141" s="4"/>
      <c r="E141" s="5" t="s">
        <v>25</v>
      </c>
      <c r="F141" s="5" t="s">
        <v>28</v>
      </c>
      <c r="G141" s="5" t="s">
        <v>7</v>
      </c>
      <c r="H141" s="5" t="s">
        <v>29</v>
      </c>
      <c r="I141" s="6"/>
      <c r="J141" s="5"/>
    </row>
    <row r="142" spans="2:18" x14ac:dyDescent="0.25">
      <c r="D142" s="4"/>
      <c r="E142" s="5"/>
      <c r="F142" s="8">
        <f>F140-4000</f>
        <v>-5000</v>
      </c>
      <c r="G142" s="5">
        <f>IF(F142&gt;5000,5000,F142)</f>
        <v>-5000</v>
      </c>
      <c r="H142" s="5">
        <f>IF(G142&gt;0,G142*'DMRW Rate Table'!E11,0)</f>
        <v>0</v>
      </c>
      <c r="I142" s="6">
        <f t="shared" ref="I142" si="28">H142*1.2</f>
        <v>0</v>
      </c>
      <c r="J142" s="5"/>
    </row>
    <row r="143" spans="2:18" x14ac:dyDescent="0.25">
      <c r="D143" s="4"/>
      <c r="E143" s="5" t="s">
        <v>27</v>
      </c>
      <c r="F143" s="5" t="s">
        <v>30</v>
      </c>
      <c r="G143" s="5" t="s">
        <v>7</v>
      </c>
      <c r="H143" s="5" t="s">
        <v>31</v>
      </c>
      <c r="I143" s="6"/>
      <c r="J143" s="5"/>
    </row>
    <row r="144" spans="2:18" x14ac:dyDescent="0.25">
      <c r="D144" s="4"/>
      <c r="E144" s="5"/>
      <c r="F144" s="8">
        <f>F142-5000</f>
        <v>-10000</v>
      </c>
      <c r="G144" s="8">
        <f>IF(F144&gt;5000,5000,F144)</f>
        <v>-10000</v>
      </c>
      <c r="H144" s="5">
        <f>IF(G144&gt;0,G144*'DMRW Rate Table'!E12,0)</f>
        <v>0</v>
      </c>
      <c r="I144" s="6">
        <f t="shared" ref="I144" si="29">H144*1.2</f>
        <v>0</v>
      </c>
      <c r="J144" s="5"/>
    </row>
    <row r="145" spans="4:10" x14ac:dyDescent="0.25">
      <c r="D145" s="4"/>
      <c r="E145" s="5" t="s">
        <v>15</v>
      </c>
      <c r="F145" s="5" t="s">
        <v>44</v>
      </c>
      <c r="G145" s="5" t="s">
        <v>7</v>
      </c>
      <c r="H145" s="5" t="s">
        <v>45</v>
      </c>
      <c r="I145" s="6"/>
      <c r="J145" s="5"/>
    </row>
    <row r="146" spans="4:10" x14ac:dyDescent="0.25">
      <c r="D146" s="4"/>
      <c r="E146" s="5"/>
      <c r="F146" s="8">
        <f>F144-5000</f>
        <v>-15000</v>
      </c>
      <c r="G146" s="8">
        <f>F146</f>
        <v>-15000</v>
      </c>
      <c r="H146" s="5">
        <f>IF(G146&gt;0,G146*'DMRW Rate Table'!E13,0)</f>
        <v>0</v>
      </c>
      <c r="I146" s="6">
        <f t="shared" ref="I146" si="30">H146*1.2</f>
        <v>0</v>
      </c>
      <c r="J146" s="5"/>
    </row>
    <row r="147" spans="4:10" x14ac:dyDescent="0.25">
      <c r="D147" s="4"/>
      <c r="E147" s="5"/>
      <c r="F147" s="15" t="s">
        <v>33</v>
      </c>
      <c r="G147" s="15">
        <f>SUM(G132:G146)</f>
        <v>-31600</v>
      </c>
      <c r="H147" s="15">
        <f>IF(D132&gt;=1000,SUM(H132:H146),0)</f>
        <v>0</v>
      </c>
      <c r="I147" s="16">
        <f>IF(D132&gt;=1000,SUM(I132:I146),0)</f>
        <v>0</v>
      </c>
      <c r="J147" s="5"/>
    </row>
    <row r="148" spans="4:10" x14ac:dyDescent="0.25">
      <c r="D148" s="9"/>
      <c r="E148" s="10"/>
      <c r="F148" s="11" t="s">
        <v>74</v>
      </c>
      <c r="G148" s="10"/>
      <c r="H148" s="11">
        <f>H147*0.3</f>
        <v>0</v>
      </c>
      <c r="I148" s="12">
        <f>I147*0.3</f>
        <v>0</v>
      </c>
      <c r="J148" s="5"/>
    </row>
    <row r="149" spans="4:10" x14ac:dyDescent="0.25">
      <c r="D149" s="5"/>
      <c r="E149" s="5"/>
      <c r="F149" s="90"/>
      <c r="G149" s="90"/>
      <c r="H149" s="15"/>
      <c r="I149" s="5"/>
      <c r="J149" s="5"/>
    </row>
    <row r="150" spans="4:10" x14ac:dyDescent="0.25">
      <c r="D150" s="5"/>
      <c r="E150" s="5"/>
      <c r="F150" s="8"/>
      <c r="G150" s="8"/>
      <c r="H150" s="5"/>
      <c r="I150" s="5"/>
      <c r="J150" s="5"/>
    </row>
    <row r="151" spans="4:10" x14ac:dyDescent="0.25">
      <c r="D151" s="1" t="s">
        <v>84</v>
      </c>
      <c r="E151" s="2"/>
      <c r="F151" s="2"/>
      <c r="G151" s="2"/>
      <c r="H151" s="2"/>
      <c r="I151" s="2"/>
      <c r="J151" s="3"/>
    </row>
    <row r="152" spans="4:10" x14ac:dyDescent="0.25">
      <c r="D152" s="4"/>
      <c r="E152" s="5"/>
      <c r="F152" s="5"/>
      <c r="G152" s="5"/>
      <c r="H152" s="5"/>
      <c r="I152" s="5"/>
      <c r="J152" s="6"/>
    </row>
    <row r="153" spans="4:10" x14ac:dyDescent="0.25">
      <c r="D153" s="4" t="s">
        <v>0</v>
      </c>
      <c r="E153" s="5"/>
      <c r="F153" s="5" t="s">
        <v>1</v>
      </c>
      <c r="G153" s="5" t="s">
        <v>32</v>
      </c>
      <c r="H153" s="5" t="s">
        <v>40</v>
      </c>
      <c r="I153" s="5"/>
      <c r="J153" s="6"/>
    </row>
    <row r="154" spans="4:10" x14ac:dyDescent="0.25">
      <c r="D154" s="7">
        <f>'D, M, R &amp; W Rates'!T17</f>
        <v>0</v>
      </c>
      <c r="E154" s="5"/>
      <c r="F154" s="8">
        <f>ROUNDUP((D154/1000),0)</f>
        <v>0</v>
      </c>
      <c r="G154" s="5">
        <v>1</v>
      </c>
      <c r="H154" s="5">
        <f>'DMRW Rate Table'!E6</f>
        <v>200</v>
      </c>
      <c r="I154" s="8"/>
      <c r="J154" s="6"/>
    </row>
    <row r="155" spans="4:10" x14ac:dyDescent="0.25">
      <c r="D155" s="4"/>
      <c r="E155" s="5" t="s">
        <v>41</v>
      </c>
      <c r="F155" s="5" t="s">
        <v>2</v>
      </c>
      <c r="G155" s="5" t="s">
        <v>7</v>
      </c>
      <c r="H155" s="5" t="s">
        <v>8</v>
      </c>
      <c r="I155" s="5"/>
      <c r="J155" s="6"/>
    </row>
    <row r="156" spans="4:10" x14ac:dyDescent="0.25">
      <c r="D156" s="4"/>
      <c r="E156" s="5"/>
      <c r="F156" s="8">
        <f>F154-1</f>
        <v>-1</v>
      </c>
      <c r="G156" s="8">
        <f>IF(F156&gt;99,99,F156)</f>
        <v>-1</v>
      </c>
      <c r="H156" s="5">
        <f>IF(G156&gt;0,G156*'DMRW Rate Table'!E7,0)</f>
        <v>0</v>
      </c>
      <c r="I156" s="8"/>
      <c r="J156" s="6"/>
    </row>
    <row r="157" spans="4:10" x14ac:dyDescent="0.25">
      <c r="D157" s="4"/>
      <c r="E157" s="5" t="s">
        <v>42</v>
      </c>
      <c r="F157" s="5" t="s">
        <v>9</v>
      </c>
      <c r="G157" s="5" t="s">
        <v>7</v>
      </c>
      <c r="H157" s="5" t="s">
        <v>10</v>
      </c>
      <c r="I157" s="5"/>
      <c r="J157" s="6"/>
    </row>
    <row r="158" spans="4:10" x14ac:dyDescent="0.25">
      <c r="D158" s="4" t="s">
        <v>53</v>
      </c>
      <c r="E158" s="5"/>
      <c r="F158" s="8">
        <f>F156-99</f>
        <v>-100</v>
      </c>
      <c r="G158" s="5">
        <f>IF(F158&gt;400,400,F158)</f>
        <v>-100</v>
      </c>
      <c r="H158" s="5">
        <f>IF(G158&gt;0,G158*'DMRW Rate Table'!E8,0)</f>
        <v>0</v>
      </c>
      <c r="I158" s="5"/>
      <c r="J158" s="6"/>
    </row>
    <row r="159" spans="4:10" x14ac:dyDescent="0.25">
      <c r="D159" s="4">
        <f>IF(H169&lt;200,200,H169)</f>
        <v>200</v>
      </c>
      <c r="E159" s="5" t="s">
        <v>43</v>
      </c>
      <c r="F159" s="5" t="s">
        <v>16</v>
      </c>
      <c r="G159" s="5" t="s">
        <v>7</v>
      </c>
      <c r="H159" s="5" t="s">
        <v>21</v>
      </c>
      <c r="I159" s="5"/>
      <c r="J159" s="6"/>
    </row>
    <row r="160" spans="4:10" x14ac:dyDescent="0.25">
      <c r="D160" s="4" t="s">
        <v>52</v>
      </c>
      <c r="E160" s="5"/>
      <c r="F160" s="8">
        <f>F158-400</f>
        <v>-500</v>
      </c>
      <c r="G160" s="5">
        <f>IF(F160&gt;500,500,F160)</f>
        <v>-500</v>
      </c>
      <c r="H160" s="5">
        <f>IF(G160&gt;0,G160*'DMRW Rate Table'!E9,0)</f>
        <v>0</v>
      </c>
      <c r="I160" s="5"/>
      <c r="J160" s="6"/>
    </row>
    <row r="161" spans="4:10" x14ac:dyDescent="0.25">
      <c r="D161" s="4">
        <f>IF(H169=0,0,D159*1.2)</f>
        <v>0</v>
      </c>
      <c r="E161" s="5" t="s">
        <v>26</v>
      </c>
      <c r="F161" s="5" t="s">
        <v>20</v>
      </c>
      <c r="G161" s="5" t="s">
        <v>7</v>
      </c>
      <c r="H161" s="5" t="s">
        <v>22</v>
      </c>
      <c r="I161" s="5"/>
      <c r="J161" s="6"/>
    </row>
    <row r="162" spans="4:10" x14ac:dyDescent="0.25">
      <c r="D162" s="4"/>
      <c r="E162" s="5"/>
      <c r="F162" s="8">
        <f>F160-500</f>
        <v>-1000</v>
      </c>
      <c r="G162" s="5">
        <f>IF(F162&gt;4000,4000,F162)</f>
        <v>-1000</v>
      </c>
      <c r="H162" s="5">
        <f>IF(G162&gt;0,G162*'DMRW Rate Table'!E10, 0)</f>
        <v>0</v>
      </c>
      <c r="I162" s="5"/>
      <c r="J162" s="6"/>
    </row>
    <row r="163" spans="4:10" x14ac:dyDescent="0.25">
      <c r="D163" s="4"/>
      <c r="E163" s="5" t="s">
        <v>25</v>
      </c>
      <c r="F163" s="5" t="s">
        <v>28</v>
      </c>
      <c r="G163" s="5" t="s">
        <v>7</v>
      </c>
      <c r="H163" s="5" t="s">
        <v>29</v>
      </c>
      <c r="I163" s="5"/>
      <c r="J163" s="6"/>
    </row>
    <row r="164" spans="4:10" x14ac:dyDescent="0.25">
      <c r="D164" s="4"/>
      <c r="E164" s="5"/>
      <c r="F164" s="8">
        <f>F162-4000</f>
        <v>-5000</v>
      </c>
      <c r="G164" s="5">
        <f>IF(F164&gt;5000,5000,F164)</f>
        <v>-5000</v>
      </c>
      <c r="H164" s="5">
        <f>IF(G164&gt;0,G164*'DMRW Rate Table'!E11,0)</f>
        <v>0</v>
      </c>
      <c r="I164" s="5"/>
      <c r="J164" s="6"/>
    </row>
    <row r="165" spans="4:10" x14ac:dyDescent="0.25">
      <c r="D165" s="4"/>
      <c r="E165" s="5" t="s">
        <v>27</v>
      </c>
      <c r="F165" s="5" t="s">
        <v>30</v>
      </c>
      <c r="G165" s="5" t="s">
        <v>7</v>
      </c>
      <c r="H165" s="5" t="s">
        <v>31</v>
      </c>
      <c r="I165" s="5"/>
      <c r="J165" s="6"/>
    </row>
    <row r="166" spans="4:10" x14ac:dyDescent="0.25">
      <c r="D166" s="4"/>
      <c r="E166" s="5"/>
      <c r="F166" s="8">
        <f>F164-5000</f>
        <v>-10000</v>
      </c>
      <c r="G166" s="8">
        <f>IF(F166&gt;5000,5000,F166)</f>
        <v>-10000</v>
      </c>
      <c r="H166" s="5">
        <f>IF(G166&gt;0,G166*'DMRW Rate Table'!E12,0)</f>
        <v>0</v>
      </c>
      <c r="I166" s="8"/>
      <c r="J166" s="6"/>
    </row>
    <row r="167" spans="4:10" x14ac:dyDescent="0.25">
      <c r="D167" s="4"/>
      <c r="E167" s="5" t="s">
        <v>15</v>
      </c>
      <c r="F167" s="5" t="s">
        <v>44</v>
      </c>
      <c r="G167" s="5" t="s">
        <v>7</v>
      </c>
      <c r="H167" s="5" t="s">
        <v>45</v>
      </c>
      <c r="I167" s="15"/>
      <c r="J167" s="16"/>
    </row>
    <row r="168" spans="4:10" x14ac:dyDescent="0.25">
      <c r="D168" s="4"/>
      <c r="E168" s="5"/>
      <c r="F168" s="8">
        <f>F166-5000</f>
        <v>-15000</v>
      </c>
      <c r="G168" s="8">
        <f>F168</f>
        <v>-15000</v>
      </c>
      <c r="H168" s="5">
        <f>IF(G168&gt;0,G168*'DMRW Rate Table'!E13,0)</f>
        <v>0</v>
      </c>
      <c r="I168" s="5"/>
      <c r="J168" s="6"/>
    </row>
    <row r="169" spans="4:10" x14ac:dyDescent="0.25">
      <c r="D169" s="9"/>
      <c r="E169" s="10"/>
      <c r="F169" s="11" t="s">
        <v>33</v>
      </c>
      <c r="G169" s="11">
        <f>SUM(G154:G168)</f>
        <v>-31600</v>
      </c>
      <c r="H169" s="11">
        <f>IF(D154&gt;0,SUM(H154:H168)*0.7,0)</f>
        <v>0</v>
      </c>
      <c r="I169" s="10"/>
      <c r="J169" s="20"/>
    </row>
    <row r="170" spans="4:10" x14ac:dyDescent="0.25">
      <c r="D170" s="10"/>
      <c r="E170" s="10"/>
      <c r="F170" s="10"/>
      <c r="G170" s="10"/>
      <c r="H170" s="10"/>
      <c r="I170" s="10"/>
      <c r="J170" s="10"/>
    </row>
    <row r="171" spans="4:10" x14ac:dyDescent="0.25">
      <c r="D171" s="10"/>
      <c r="E171" s="10"/>
      <c r="F171" s="10"/>
      <c r="G171" s="10"/>
      <c r="H171" s="10"/>
      <c r="I171" s="10"/>
      <c r="J171" s="10"/>
    </row>
    <row r="172" spans="4:10" x14ac:dyDescent="0.25">
      <c r="D172" s="23"/>
      <c r="E172" s="23"/>
      <c r="F172" s="23"/>
      <c r="G172" s="23"/>
      <c r="H172" s="23"/>
      <c r="I172" s="23"/>
      <c r="J172" s="23"/>
    </row>
  </sheetData>
  <mergeCells count="2">
    <mergeCell ref="B2:R2"/>
    <mergeCell ref="B3:R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Hidden Tab Guide</vt:lpstr>
      <vt:lpstr>Menu</vt:lpstr>
      <vt:lpstr>National Rates</vt:lpstr>
      <vt:lpstr>National Data</vt:lpstr>
      <vt:lpstr>National Rate Table</vt:lpstr>
      <vt:lpstr>DMRW Rate Table</vt:lpstr>
      <vt:lpstr>D, M, R &amp; W Rates</vt:lpstr>
      <vt:lpstr>DMRW Remit Calcs</vt:lpstr>
      <vt:lpstr>DMRW Data</vt:lpstr>
      <vt:lpstr>Shelby Rates</vt:lpstr>
      <vt:lpstr>Shelby Data</vt:lpstr>
      <vt:lpstr>Shelby Rate Table</vt:lpstr>
      <vt:lpstr>Knox &amp; Hamilton Rates</vt:lpstr>
      <vt:lpstr>Knox &amp; Hamilton Data</vt:lpstr>
      <vt:lpstr>Knox &amp; Hamilton Remit Calcs</vt:lpstr>
      <vt:lpstr>Knox &amp; Hamilton Rate Table</vt:lpstr>
      <vt:lpstr>'D, M, R &amp; W Rates'!Print_Area</vt:lpstr>
      <vt:lpstr>'Knox &amp; Hamilton Rates'!Print_Area</vt:lpstr>
      <vt:lpstr>'National Rates'!Print_Area</vt:lpstr>
      <vt:lpstr>'Shelby Rates'!Print_Area</vt:lpstr>
    </vt:vector>
  </TitlesOfParts>
  <Company>Ken Davis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Jacobs</dc:creator>
  <cp:lastModifiedBy>FNF Employee</cp:lastModifiedBy>
  <cp:lastPrinted>2015-10-05T15:08:17Z</cp:lastPrinted>
  <dcterms:created xsi:type="dcterms:W3CDTF">2012-04-12T23:07:22Z</dcterms:created>
  <dcterms:modified xsi:type="dcterms:W3CDTF">2015-10-08T15:49:26Z</dcterms:modified>
</cp:coreProperties>
</file>